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5480" windowHeight="11505"/>
  </bookViews>
  <sheets>
    <sheet name="t1" sheetId="26" r:id="rId1"/>
    <sheet name="t2" sheetId="11" r:id="rId2"/>
    <sheet name="t3" sheetId="5" r:id="rId3"/>
    <sheet name="t4" sheetId="27" r:id="rId4"/>
    <sheet name="t5" sheetId="13" r:id="rId5"/>
    <sheet name="t6" sheetId="22" r:id="rId6"/>
    <sheet name="t7" sheetId="31" r:id="rId7"/>
    <sheet name="t8" sheetId="30" r:id="rId8"/>
  </sheets>
  <externalReferences>
    <externalReference r:id="rId9"/>
  </externalReferences>
  <definedNames>
    <definedName name="Inv">#REF!</definedName>
    <definedName name="InvComb">#REF!</definedName>
    <definedName name="Z_6ECD19BB_439B_48B1_A4BA_D8DDB03847A3_.wvu.PrintArea" localSheetId="4" hidden="1">'t5'!$A$1:$M$35</definedName>
  </definedNames>
  <calcPr calcId="125725"/>
</workbook>
</file>

<file path=xl/calcChain.xml><?xml version="1.0" encoding="utf-8"?>
<calcChain xmlns="http://schemas.openxmlformats.org/spreadsheetml/2006/main">
  <c r="J9" i="31"/>
  <c r="H11"/>
  <c r="H7"/>
  <c r="H8"/>
  <c r="H9"/>
  <c r="H6"/>
  <c r="F9"/>
  <c r="B13" i="11"/>
  <c r="B11"/>
  <c r="F15"/>
  <c r="F14"/>
  <c r="F13"/>
  <c r="F12"/>
  <c r="F11"/>
  <c r="F27"/>
  <c r="F25"/>
  <c r="C25"/>
  <c r="J14" i="31"/>
  <c r="J13"/>
  <c r="B11"/>
  <c r="B16"/>
  <c r="D8"/>
  <c r="D7"/>
  <c r="D6"/>
  <c r="G33" i="30"/>
  <c r="H28"/>
  <c r="H33" s="1"/>
  <c r="F28"/>
  <c r="E28"/>
  <c r="E33" s="1"/>
  <c r="D28"/>
  <c r="D33" s="1"/>
  <c r="C28"/>
  <c r="C33" s="1"/>
  <c r="B28"/>
  <c r="B33" s="1"/>
  <c r="J26"/>
  <c r="I26"/>
  <c r="H26"/>
  <c r="F26"/>
  <c r="E26"/>
  <c r="D26"/>
  <c r="C26"/>
  <c r="B26"/>
  <c r="J25"/>
  <c r="I25"/>
  <c r="H25"/>
  <c r="F25"/>
  <c r="E25"/>
  <c r="D25"/>
  <c r="C25"/>
  <c r="B25"/>
  <c r="J24"/>
  <c r="I24"/>
  <c r="H24"/>
  <c r="F24"/>
  <c r="E24"/>
  <c r="D24"/>
  <c r="C24"/>
  <c r="B24"/>
  <c r="J23"/>
  <c r="I23"/>
  <c r="H23"/>
  <c r="F23"/>
  <c r="E23"/>
  <c r="D23"/>
  <c r="C23"/>
  <c r="B23"/>
  <c r="J22"/>
  <c r="I22"/>
  <c r="H22"/>
  <c r="F22"/>
  <c r="E22"/>
  <c r="D22"/>
  <c r="C22"/>
  <c r="B22"/>
  <c r="J21"/>
  <c r="I21"/>
  <c r="H21"/>
  <c r="F21"/>
  <c r="E21"/>
  <c r="D21"/>
  <c r="C21"/>
  <c r="B21"/>
  <c r="J20"/>
  <c r="I20"/>
  <c r="H20"/>
  <c r="F20"/>
  <c r="E20"/>
  <c r="D20"/>
  <c r="C20"/>
  <c r="B20"/>
  <c r="J19"/>
  <c r="I19"/>
  <c r="H19"/>
  <c r="F19"/>
  <c r="E19"/>
  <c r="D19"/>
  <c r="C19"/>
  <c r="B19"/>
  <c r="J18"/>
  <c r="I18"/>
  <c r="H18"/>
  <c r="F18"/>
  <c r="E18"/>
  <c r="D18"/>
  <c r="C18"/>
  <c r="B18"/>
  <c r="J17"/>
  <c r="I17"/>
  <c r="H17"/>
  <c r="F17"/>
  <c r="E17"/>
  <c r="D17"/>
  <c r="C17"/>
  <c r="B17"/>
  <c r="J16"/>
  <c r="I16"/>
  <c r="H16"/>
  <c r="F16"/>
  <c r="E16"/>
  <c r="D16"/>
  <c r="C16"/>
  <c r="B16"/>
  <c r="J15"/>
  <c r="I15"/>
  <c r="H15"/>
  <c r="F15"/>
  <c r="E15"/>
  <c r="D15"/>
  <c r="C15"/>
  <c r="B15"/>
  <c r="J14"/>
  <c r="I14"/>
  <c r="H14"/>
  <c r="F14"/>
  <c r="E14"/>
  <c r="D14"/>
  <c r="C14"/>
  <c r="B14"/>
  <c r="J10"/>
  <c r="I10"/>
  <c r="H10"/>
  <c r="F10"/>
  <c r="E10"/>
  <c r="D10"/>
  <c r="C10"/>
  <c r="B10"/>
  <c r="J13"/>
  <c r="I13"/>
  <c r="H13"/>
  <c r="F13"/>
  <c r="E13"/>
  <c r="D13"/>
  <c r="C13"/>
  <c r="B13"/>
  <c r="J12"/>
  <c r="I12"/>
  <c r="H12"/>
  <c r="F12"/>
  <c r="E12"/>
  <c r="D12"/>
  <c r="C12"/>
  <c r="B12"/>
  <c r="J11"/>
  <c r="I11"/>
  <c r="H11"/>
  <c r="F11"/>
  <c r="E11"/>
  <c r="D11"/>
  <c r="C11"/>
  <c r="B11"/>
  <c r="J9"/>
  <c r="I9"/>
  <c r="H9"/>
  <c r="F9"/>
  <c r="E9"/>
  <c r="D9"/>
  <c r="C9"/>
  <c r="B9"/>
  <c r="J8"/>
  <c r="I8"/>
  <c r="H8"/>
  <c r="F8"/>
  <c r="E8"/>
  <c r="D8"/>
  <c r="C8"/>
  <c r="B8"/>
  <c r="J7"/>
  <c r="J28"/>
  <c r="J33" s="1"/>
  <c r="I7"/>
  <c r="I28" s="1"/>
  <c r="H7"/>
  <c r="F7"/>
  <c r="E7"/>
  <c r="D7"/>
  <c r="C7"/>
  <c r="B7"/>
  <c r="D12" i="13"/>
  <c r="B15" i="11"/>
  <c r="K7" i="30"/>
  <c r="M7" s="1"/>
  <c r="K8"/>
  <c r="M8"/>
  <c r="K9"/>
  <c r="M9"/>
  <c r="K11"/>
  <c r="M11"/>
  <c r="K12"/>
  <c r="M12"/>
  <c r="K13"/>
  <c r="M13"/>
  <c r="K10"/>
  <c r="M10" s="1"/>
  <c r="K14"/>
  <c r="M14"/>
  <c r="K15"/>
  <c r="M15" s="1"/>
  <c r="K16"/>
  <c r="M16" s="1"/>
  <c r="K17"/>
  <c r="M17" s="1"/>
  <c r="K18"/>
  <c r="M18" s="1"/>
  <c r="K19"/>
  <c r="M19" s="1"/>
  <c r="K20"/>
  <c r="M20" s="1"/>
  <c r="K21"/>
  <c r="M21" s="1"/>
  <c r="K22"/>
  <c r="M22" s="1"/>
  <c r="K23"/>
  <c r="M23" s="1"/>
  <c r="K24"/>
  <c r="M24" s="1"/>
  <c r="K25"/>
  <c r="M25" s="1"/>
  <c r="K26"/>
  <c r="M26" s="1"/>
  <c r="F14" i="31"/>
  <c r="F13"/>
  <c r="F8"/>
  <c r="F6"/>
  <c r="F7"/>
  <c r="J6"/>
  <c r="J8"/>
  <c r="D11"/>
  <c r="D16"/>
  <c r="H13"/>
  <c r="J7"/>
  <c r="F11"/>
  <c r="F33" i="30"/>
  <c r="H29" i="13"/>
  <c r="H24"/>
  <c r="H22"/>
  <c r="H14"/>
  <c r="H13"/>
  <c r="H9"/>
  <c r="D31"/>
  <c r="D27"/>
  <c r="D15"/>
  <c r="J16" i="31"/>
  <c r="H14"/>
  <c r="F16"/>
  <c r="J11"/>
  <c r="O20" i="27"/>
  <c r="O11"/>
  <c r="N23"/>
  <c r="I29"/>
  <c r="H29"/>
  <c r="H35"/>
  <c r="H42"/>
  <c r="K14"/>
  <c r="I24"/>
  <c r="I35"/>
  <c r="I42"/>
  <c r="L42"/>
  <c r="C29"/>
  <c r="B29"/>
  <c r="C24"/>
  <c r="B24"/>
  <c r="L24"/>
  <c r="L12"/>
  <c r="L32"/>
  <c r="L18"/>
  <c r="L29"/>
  <c r="L27"/>
  <c r="L21"/>
  <c r="L16"/>
  <c r="L35"/>
  <c r="C35"/>
  <c r="C42"/>
  <c r="F32"/>
  <c r="K11"/>
  <c r="K29"/>
  <c r="K26"/>
  <c r="K23"/>
  <c r="K21"/>
  <c r="K18"/>
  <c r="K16"/>
  <c r="K12"/>
  <c r="K42"/>
  <c r="K32"/>
  <c r="K27"/>
  <c r="K24"/>
  <c r="K22"/>
  <c r="K19"/>
  <c r="K17"/>
  <c r="K35"/>
  <c r="L11"/>
  <c r="L26"/>
  <c r="L22"/>
  <c r="L20"/>
  <c r="L17"/>
  <c r="L14"/>
  <c r="F9"/>
  <c r="F11"/>
  <c r="F22"/>
  <c r="F20"/>
  <c r="F18"/>
  <c r="F16"/>
  <c r="F14"/>
  <c r="F12"/>
  <c r="F29"/>
  <c r="F27"/>
  <c r="F40"/>
  <c r="F37"/>
  <c r="F33"/>
  <c r="F42"/>
  <c r="B42"/>
  <c r="F7"/>
  <c r="F21"/>
  <c r="F19"/>
  <c r="F17"/>
  <c r="F15"/>
  <c r="F13"/>
  <c r="F26"/>
  <c r="F28"/>
  <c r="F31"/>
  <c r="F38"/>
  <c r="F35"/>
  <c r="B35"/>
  <c r="N35"/>
  <c r="O35"/>
  <c r="F24"/>
  <c r="E24"/>
  <c r="N42"/>
  <c r="E35"/>
  <c r="E29"/>
  <c r="E9"/>
  <c r="E40"/>
  <c r="E37"/>
  <c r="E32"/>
  <c r="E27"/>
  <c r="E21"/>
  <c r="E19"/>
  <c r="E17"/>
  <c r="E15"/>
  <c r="E13"/>
  <c r="E11"/>
  <c r="E7"/>
  <c r="E26"/>
  <c r="E20"/>
  <c r="E18"/>
  <c r="E14"/>
  <c r="E12"/>
  <c r="E10"/>
  <c r="E23"/>
  <c r="E42"/>
  <c r="E38"/>
  <c r="E33"/>
  <c r="E31"/>
  <c r="E28"/>
  <c r="E22"/>
  <c r="E16"/>
  <c r="C10" i="11"/>
  <c r="H27" i="13"/>
  <c r="H17"/>
  <c r="H6"/>
  <c r="E27"/>
  <c r="E13"/>
  <c r="E6"/>
  <c r="F32" i="5"/>
  <c r="E33"/>
  <c r="O32" i="27"/>
  <c r="N32"/>
  <c r="O31"/>
  <c r="N31"/>
  <c r="O27"/>
  <c r="N27"/>
  <c r="O26"/>
  <c r="N26"/>
  <c r="O22"/>
  <c r="N22"/>
  <c r="O21"/>
  <c r="N21"/>
  <c r="N19"/>
  <c r="O18"/>
  <c r="N18"/>
  <c r="O17"/>
  <c r="N17"/>
  <c r="O16"/>
  <c r="N16"/>
  <c r="O14"/>
  <c r="N14"/>
  <c r="O12"/>
  <c r="N12"/>
  <c r="N11"/>
  <c r="N29"/>
  <c r="H12" i="13"/>
  <c r="E8" i="5"/>
  <c r="E25" i="13"/>
  <c r="F9" i="5"/>
  <c r="C21" i="11"/>
  <c r="C23"/>
  <c r="F34" i="5"/>
  <c r="F30"/>
  <c r="F26"/>
  <c r="F22"/>
  <c r="F18"/>
  <c r="F14"/>
  <c r="F10"/>
  <c r="F7"/>
  <c r="F31"/>
  <c r="F27"/>
  <c r="F23"/>
  <c r="F19"/>
  <c r="F15"/>
  <c r="F11"/>
  <c r="E7"/>
  <c r="E31"/>
  <c r="E27"/>
  <c r="E23"/>
  <c r="E19"/>
  <c r="E15"/>
  <c r="E11"/>
  <c r="E34"/>
  <c r="E30"/>
  <c r="E26"/>
  <c r="E22"/>
  <c r="E18"/>
  <c r="E14"/>
  <c r="E10"/>
  <c r="C13" i="11"/>
  <c r="C11"/>
  <c r="C12"/>
  <c r="O24" i="27"/>
  <c r="O29"/>
  <c r="C17" i="11"/>
  <c r="C14"/>
  <c r="C15"/>
  <c r="C7"/>
  <c r="C8"/>
  <c r="E12" i="5"/>
  <c r="E16"/>
  <c r="E20"/>
  <c r="E24"/>
  <c r="E28"/>
  <c r="E32"/>
  <c r="E9"/>
  <c r="E13"/>
  <c r="E17"/>
  <c r="E21"/>
  <c r="E25"/>
  <c r="E29"/>
  <c r="C6" i="11"/>
  <c r="N24" i="27"/>
  <c r="C29" i="11"/>
  <c r="F10"/>
  <c r="F7"/>
  <c r="F21"/>
  <c r="F8"/>
  <c r="F23"/>
  <c r="F6"/>
  <c r="F17"/>
  <c r="O42" i="27"/>
  <c r="E36" i="5"/>
  <c r="F13"/>
  <c r="F17"/>
  <c r="F21"/>
  <c r="F25"/>
  <c r="F29"/>
  <c r="F33"/>
  <c r="F8"/>
  <c r="F12"/>
  <c r="F16"/>
  <c r="F20"/>
  <c r="F24"/>
  <c r="F28"/>
  <c r="F29" i="11"/>
  <c r="F36" i="5"/>
  <c r="I33" i="30" l="1"/>
  <c r="K28"/>
  <c r="K33" l="1"/>
  <c r="M28"/>
  <c r="M33" s="1"/>
</calcChain>
</file>

<file path=xl/sharedStrings.xml><?xml version="1.0" encoding="utf-8"?>
<sst xmlns="http://schemas.openxmlformats.org/spreadsheetml/2006/main" count="577" uniqueCount="262">
  <si>
    <t>Totale</t>
  </si>
  <si>
    <t>Zucchero</t>
  </si>
  <si>
    <t xml:space="preserve">Contributo % </t>
  </si>
  <si>
    <t>Milioni di euro</t>
  </si>
  <si>
    <t>Distribuzione %</t>
  </si>
  <si>
    <t xml:space="preserve">alla produzione agricola </t>
  </si>
  <si>
    <t>Belgio</t>
  </si>
  <si>
    <t>Bulgaria</t>
  </si>
  <si>
    <t>Repubblica Ceca</t>
  </si>
  <si>
    <t>Danimarca</t>
  </si>
  <si>
    <t xml:space="preserve">Germania </t>
  </si>
  <si>
    <t>Estonia</t>
  </si>
  <si>
    <t>Irlanda</t>
  </si>
  <si>
    <t>Grecia</t>
  </si>
  <si>
    <t>Spagna</t>
  </si>
  <si>
    <t>Francia</t>
  </si>
  <si>
    <t>Italia</t>
  </si>
  <si>
    <t>Cipro</t>
  </si>
  <si>
    <t>Lettonia</t>
  </si>
  <si>
    <t>Lituania</t>
  </si>
  <si>
    <t>Lussemburgo</t>
  </si>
  <si>
    <t>Ungheria</t>
  </si>
  <si>
    <t>Malta</t>
  </si>
  <si>
    <t>Paesi Bassi</t>
  </si>
  <si>
    <t>Austria</t>
  </si>
  <si>
    <t>Polonia</t>
  </si>
  <si>
    <t>Portogallo</t>
  </si>
  <si>
    <t>Romania</t>
  </si>
  <si>
    <t>Slovenia</t>
  </si>
  <si>
    <t>Slovacchia</t>
  </si>
  <si>
    <t>Finlandia</t>
  </si>
  <si>
    <t>Svezia</t>
  </si>
  <si>
    <t>Regno Unito</t>
  </si>
  <si>
    <t>-</t>
  </si>
  <si>
    <t>Totale UE</t>
  </si>
  <si>
    <t>Italia/UE</t>
  </si>
  <si>
    <t>milioni di euro</t>
  </si>
  <si>
    <t>%</t>
  </si>
  <si>
    <t>Cereali</t>
  </si>
  <si>
    <t>Riso</t>
  </si>
  <si>
    <t>Restituzioni per i prodotti non compresi nell'allegato I</t>
  </si>
  <si>
    <t>Programmi alimentari</t>
  </si>
  <si>
    <t>Olio d'oliva</t>
  </si>
  <si>
    <t>Piante tessili e baco da seta</t>
  </si>
  <si>
    <t>Ortofrutticoli</t>
  </si>
  <si>
    <t>Prodotti vitivinicoli</t>
  </si>
  <si>
    <t>Promozione</t>
  </si>
  <si>
    <t>Altri prodotti vegetali e altre misure</t>
  </si>
  <si>
    <t>Prodotti lattiero-caseari</t>
  </si>
  <si>
    <t>Carne bovina</t>
  </si>
  <si>
    <t>Carne suina, uova, pollame,apic. e altri prod. zoot.</t>
  </si>
  <si>
    <t>Aiuti diretti disaccoppiati</t>
  </si>
  <si>
    <t>Restituzione modulazione</t>
  </si>
  <si>
    <t>Sviluppo rurale</t>
  </si>
  <si>
    <t>Audit spese agricole</t>
  </si>
  <si>
    <t>Spese amministrative</t>
  </si>
  <si>
    <t>Sanità pubblica</t>
  </si>
  <si>
    <t>Sicurezza degli alimenti, salute e benessere degli animali e salute delle piante</t>
  </si>
  <si>
    <r>
      <t>Fonte</t>
    </r>
    <r>
      <rPr>
        <sz val="10"/>
        <rFont val="Times New Roman"/>
        <family val="1"/>
      </rPr>
      <t>: elaborazioni su dati Commissione europea.</t>
    </r>
  </si>
  <si>
    <t>Aiuti diretti</t>
  </si>
  <si>
    <t xml:space="preserve">  - Ambiente</t>
  </si>
  <si>
    <t>1 - Crescita sostenibile</t>
  </si>
  <si>
    <t xml:space="preserve">  - Competitività per la crescita e l'occupazione</t>
  </si>
  <si>
    <t xml:space="preserve">  - Coesione per la crescita e l'occupazione</t>
  </si>
  <si>
    <t>2. Conservazione e gesione delle risorse naturali</t>
  </si>
  <si>
    <t xml:space="preserve">  - Spese connesse al mercato e ai pagamenti diretti</t>
  </si>
  <si>
    <t xml:space="preserve">  - Sviluppo rurale</t>
  </si>
  <si>
    <t xml:space="preserve">  - Altro</t>
  </si>
  <si>
    <t xml:space="preserve">  - Libertà, sicurezza e giustizia</t>
  </si>
  <si>
    <t xml:space="preserve">  - Cittadinanza</t>
  </si>
  <si>
    <t>4. L'UE come attore globale</t>
  </si>
  <si>
    <t>5. Amministrazione</t>
  </si>
  <si>
    <t>3. Cittadinanza, libertà, sicurezza e giustizia</t>
  </si>
  <si>
    <t xml:space="preserve">  - Pesca</t>
  </si>
  <si>
    <t>Germania</t>
  </si>
  <si>
    <t>(migliaia di euro)</t>
  </si>
  <si>
    <t>Settori interessati</t>
  </si>
  <si>
    <r>
      <t>1</t>
    </r>
    <r>
      <rPr>
        <sz val="10"/>
        <rFont val="Times New Roman"/>
        <family val="1"/>
      </rPr>
      <t xml:space="preserve"> Spese effettuate su programmi comunitari non imputabili ad un singolo paese.</t>
    </r>
  </si>
  <si>
    <r>
      <t>UE</t>
    </r>
    <r>
      <rPr>
        <vertAlign val="superscript"/>
        <sz val="10"/>
        <rFont val="Times New Roman"/>
        <family val="1"/>
      </rPr>
      <t>1</t>
    </r>
  </si>
  <si>
    <r>
      <t>Altri aiuti diretti</t>
    </r>
    <r>
      <rPr>
        <vertAlign val="superscript"/>
        <sz val="10"/>
        <rFont val="Times New Roman"/>
        <family val="1"/>
      </rPr>
      <t>1</t>
    </r>
  </si>
  <si>
    <r>
      <t xml:space="preserve">1 </t>
    </r>
    <r>
      <rPr>
        <sz val="10"/>
        <rFont val="Times New Roman"/>
        <family val="1"/>
      </rPr>
      <t>Aiuti diretti diversi da quelli disaccoppiati del regime di pagamento unico.</t>
    </r>
  </si>
  <si>
    <t>Piemonte</t>
  </si>
  <si>
    <t>Valle d'Aosta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</si>
  <si>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</si>
  <si>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</si>
  <si>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</si>
  <si>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</si>
  <si>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</si>
  <si>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</si>
  <si>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</si>
  <si>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</si>
  <si>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</si>
  <si>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</si>
  <si>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</si>
  <si>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</si>
  <si>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</si>
  <si>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</si>
  <si>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</si>
  <si>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Interventi sui mercati agricoli</t>
  </si>
  <si>
    <t>Centro</t>
  </si>
  <si>
    <t>(milioni di euro)</t>
  </si>
  <si>
    <t>Quota non ripartibile</t>
  </si>
  <si>
    <t>Premi e supplementi per la carne bovina      (art. 53)</t>
  </si>
  <si>
    <t>Importi per il finanziamento art. 68 da fondi non utilizzati     (art. 69)</t>
  </si>
  <si>
    <t>Massimali per il RPU e il RPUS</t>
  </si>
  <si>
    <t>Massimali nazionali - allegato VIII reg. 73/2009</t>
  </si>
  <si>
    <t>Olio di oliva</t>
  </si>
  <si>
    <t>Latte</t>
  </si>
  <si>
    <t>Tabacco</t>
  </si>
  <si>
    <t>Plafond                      (euro)</t>
  </si>
  <si>
    <t>Pagamento annuale supplementare teorico</t>
  </si>
  <si>
    <t>Pagamento annuale supplementare erogabile</t>
  </si>
  <si>
    <t>200 euro/capo</t>
  </si>
  <si>
    <t>150 euro/capo</t>
  </si>
  <si>
    <t>60 euro/capo</t>
  </si>
  <si>
    <t>-   acquisto montoni</t>
  </si>
  <si>
    <t>-   detenzione montoni</t>
  </si>
  <si>
    <t>-   macellazione</t>
  </si>
  <si>
    <t>-   estensivizzazione</t>
  </si>
  <si>
    <t>-   generico</t>
  </si>
  <si>
    <t>-   Kentucky</t>
  </si>
  <si>
    <t>-   Nostrano</t>
  </si>
  <si>
    <t>50 euro/capo</t>
  </si>
  <si>
    <t>90 euro/capo</t>
  </si>
  <si>
    <t>300 euro/capo</t>
  </si>
  <si>
    <t>70 euro/capo</t>
  </si>
  <si>
    <t>15 euro/capo</t>
  </si>
  <si>
    <t>10 euro/capo</t>
  </si>
  <si>
    <t>1 euro/kg</t>
  </si>
  <si>
    <t>15 euro/t</t>
  </si>
  <si>
    <t>2 euro/kg</t>
  </si>
  <si>
    <t>4 euro/kg</t>
  </si>
  <si>
    <t>2,5 euro/kg</t>
  </si>
  <si>
    <t>15.000 euro/ha</t>
  </si>
  <si>
    <t>100 euro/ha</t>
  </si>
  <si>
    <t xml:space="preserve">-  macellazione etichettatura </t>
  </si>
  <si>
    <t>-  vacche duplice attitudine</t>
  </si>
  <si>
    <t>-  vacche LG pluripare</t>
  </si>
  <si>
    <t>-  vacche LG primipare</t>
  </si>
  <si>
    <t>Contributo per il pagamento dei premi di assicurazione</t>
  </si>
  <si>
    <t>max 65%</t>
  </si>
  <si>
    <t>Affari marittimi e pesca</t>
  </si>
  <si>
    <t>Quantità ammesse al pagamento</t>
  </si>
  <si>
    <t>Carne ovicaprina</t>
  </si>
  <si>
    <t>Avvicendamento (agroambiente)</t>
  </si>
  <si>
    <t>Supporto strategico e coordinamento</t>
  </si>
  <si>
    <t>Spese amministrative connesse ai costi veterinari</t>
  </si>
  <si>
    <t>Sostegno specifico (art. 68)</t>
  </si>
  <si>
    <t xml:space="preserve">aiuti accoppiati    </t>
  </si>
  <si>
    <t xml:space="preserve">aiuti disaccoppiati    </t>
  </si>
  <si>
    <t>pagamento distinto zucchero (art. 126)</t>
  </si>
  <si>
    <t>pagamento distinto ortofrutticoli (art. 127)</t>
  </si>
  <si>
    <t>Var. %</t>
  </si>
  <si>
    <r>
      <rPr>
        <i/>
        <sz val="10"/>
        <rFont val="Times New Roman"/>
        <family val="1"/>
      </rPr>
      <t>Fonte</t>
    </r>
    <r>
      <rPr>
        <sz val="10"/>
        <rFont val="Times New Roman"/>
        <family val="1"/>
      </rPr>
      <t>: elaborazioni su dati Commissione europea.</t>
    </r>
  </si>
  <si>
    <t>Pagamenti parziamente disaccoppiati</t>
  </si>
  <si>
    <t>Pagamenti diretti dei nuovi Stati membri</t>
  </si>
  <si>
    <t>Differenza tra pagamento teorico e pagamento erogabile</t>
  </si>
  <si>
    <t>Pagamento</t>
  </si>
  <si>
    <t>Migliaia di euro</t>
  </si>
  <si>
    <t>Obbligatorio</t>
  </si>
  <si>
    <t>€/ha</t>
  </si>
  <si>
    <t>Pagamento verde</t>
  </si>
  <si>
    <t>Pagamento redistributivo sui primi ettari</t>
  </si>
  <si>
    <t>Facoltativo</t>
  </si>
  <si>
    <t>Pagamento accoppiato</t>
  </si>
  <si>
    <t>Regime piccoli agricoltori</t>
  </si>
  <si>
    <t xml:space="preserve">Il sistema si autofinanzia </t>
  </si>
  <si>
    <r>
      <t xml:space="preserve">Tab. 13.7 - </t>
    </r>
    <r>
      <rPr>
        <i/>
        <sz val="10"/>
        <rFont val="Times New Roman"/>
        <family val="1"/>
      </rPr>
      <t>AGEA e Organismi pagatori regionali: trasferimenti FEAGA</t>
    </r>
  </si>
  <si>
    <r>
      <t xml:space="preserve">Tab. 13.2 - </t>
    </r>
    <r>
      <rPr>
        <i/>
        <sz val="10"/>
        <rFont val="Times New Roman"/>
        <family val="1"/>
      </rPr>
      <t>Bilancio generale dell'UE: esecuzione e ripartizione degli stanziamenti per impegni relativi alle rubriche delle prospettive finanziarie</t>
    </r>
  </si>
  <si>
    <r>
      <t xml:space="preserve">Tab. 13.4 - </t>
    </r>
    <r>
      <rPr>
        <i/>
        <sz val="10"/>
        <rFont val="Times New Roman"/>
        <family val="1"/>
      </rPr>
      <t>Ripartizione delle erogazioni del FEAGA nell'UE e in Italia per voce di spesa</t>
    </r>
  </si>
  <si>
    <r>
      <t xml:space="preserve">Tab. 13.3 - </t>
    </r>
    <r>
      <rPr>
        <i/>
        <sz val="10"/>
        <rFont val="Times New Roman"/>
        <family val="1"/>
      </rPr>
      <t>Ripartizione delle erogazioni del FEAGA nell'UE per paese</t>
    </r>
  </si>
  <si>
    <t>pagamento distinto frutti rossi                (art. 129)</t>
  </si>
  <si>
    <t>400 euro/ha</t>
  </si>
  <si>
    <t>Destinatari</t>
  </si>
  <si>
    <t>Tipo di pagamento</t>
  </si>
  <si>
    <t>Pagamento di base</t>
  </si>
  <si>
    <t>Pagamento ai giovani agricoltori</t>
  </si>
  <si>
    <t>Pagamento per zone con svantaggi specifici</t>
  </si>
  <si>
    <t>Chi ha diritto al pagamento di base e fa domanda per il regime dei piccoli agricoltori</t>
  </si>
  <si>
    <t>Friuli-Venezia Giulia</t>
  </si>
  <si>
    <t>Emilia-Romagna</t>
  </si>
  <si>
    <t>Trentino-Alto Adige</t>
  </si>
  <si>
    <t>Croazia</t>
  </si>
  <si>
    <t>dell'UE nel 2012</t>
  </si>
  <si>
    <t>fondo zucchero</t>
  </si>
  <si>
    <r>
      <t xml:space="preserve">Tab. 13.5 - </t>
    </r>
    <r>
      <rPr>
        <i/>
        <sz val="10"/>
        <rFont val="Times New Roman"/>
        <family val="1"/>
      </rPr>
      <t>Dotazioni finanziarie per il regime di pagamento unico e per le attuazioni facoltative (regolamento (CE) 73/2009) - 2013</t>
    </r>
  </si>
  <si>
    <r>
      <t>Fonte</t>
    </r>
    <r>
      <rPr>
        <sz val="10"/>
        <rFont val="Times New Roman"/>
        <family val="1"/>
      </rPr>
      <t>: elaborazioni su regolamenti (CE) 73/2009, 914/2013 e 934/2013.</t>
    </r>
  </si>
  <si>
    <t>Premi e supplementi per gli ovicaprini               (art. 52)</t>
  </si>
  <si>
    <r>
      <t xml:space="preserve">Tab. 13.8 - </t>
    </r>
    <r>
      <rPr>
        <i/>
        <sz val="10"/>
        <rFont val="Times New Roman"/>
        <family val="1"/>
      </rPr>
      <t>Pagamenti AGEA e Organismi pagatori regionali per il primo pilastro della PAC per Regione - 2013</t>
    </r>
  </si>
  <si>
    <t>28.277 capi</t>
  </si>
  <si>
    <t>167,86 euro/capo</t>
  </si>
  <si>
    <t>152.867 capi</t>
  </si>
  <si>
    <t>125,89 euro/capo</t>
  </si>
  <si>
    <t>13.616 capi</t>
  </si>
  <si>
    <t>50,35 euro/capo</t>
  </si>
  <si>
    <t>639.257 capi</t>
  </si>
  <si>
    <t>41,77 euro/capo</t>
  </si>
  <si>
    <t>17.456 capi</t>
  </si>
  <si>
    <t>75,19 euro/capo</t>
  </si>
  <si>
    <t>1.564 capi</t>
  </si>
  <si>
    <t>180,09 euro/capo</t>
  </si>
  <si>
    <t>8.675 capi</t>
  </si>
  <si>
    <t>42,02 euro/capo</t>
  </si>
  <si>
    <t>718.961 capi</t>
  </si>
  <si>
    <t>9,00 euro/capo</t>
  </si>
  <si>
    <t>526.621 capi</t>
  </si>
  <si>
    <t>6,00 euro/capo</t>
  </si>
  <si>
    <t>31.859.560 kg</t>
  </si>
  <si>
    <t>0,2904 euro/kg</t>
  </si>
  <si>
    <t>8.075.625 t</t>
  </si>
  <si>
    <t>5,09 euro/t</t>
  </si>
  <si>
    <t>48.175.006 kg</t>
  </si>
  <si>
    <t>0,4375 euro/kg</t>
  </si>
  <si>
    <t>784.344 kg</t>
  </si>
  <si>
    <t>1,264 euro/kg</t>
  </si>
  <si>
    <t>46.543 kg</t>
  </si>
  <si>
    <t>0,7891 euro/kg</t>
  </si>
  <si>
    <t>Danae racemosa</t>
  </si>
  <si>
    <t>222,69 ha</t>
  </si>
  <si>
    <t>6.925,29 euro/ha</t>
  </si>
  <si>
    <t>1.042.779 ha</t>
  </si>
  <si>
    <t>94,9 euro/ha</t>
  </si>
  <si>
    <t>147.188.333 euro</t>
  </si>
  <si>
    <t>39.832 ha</t>
  </si>
  <si>
    <r>
      <t xml:space="preserve">Tab. 13.6 - </t>
    </r>
    <r>
      <rPr>
        <i/>
        <sz val="10"/>
        <rFont val="Times New Roman"/>
        <family val="1"/>
      </rPr>
      <t>Italia - Applicazione dell'art. 68 del regolamento (CE) n. 73/2009 - 2013</t>
    </r>
  </si>
  <si>
    <r>
      <rPr>
        <i/>
        <sz val="10"/>
        <rFont val="Times New Roman"/>
        <family val="1"/>
      </rPr>
      <t>Fonte</t>
    </r>
    <r>
      <rPr>
        <sz val="10"/>
        <rFont val="Times New Roman"/>
        <family val="1"/>
      </rPr>
      <t>: elaborazioni su dati AGEA (ACIU.2014.285 e ACIU.2014.413).</t>
    </r>
  </si>
  <si>
    <t>2013 - Esecuzione</t>
  </si>
  <si>
    <t>2014 - Stanziamenti iniziali</t>
  </si>
  <si>
    <t>6. Compensazioni</t>
  </si>
  <si>
    <t>Strumenti speciali</t>
  </si>
  <si>
    <t>Nota: alcuni Paesi utilizzano i fondi dell'articolo 68 pr incrementare il valore o il numero dei titoli di pagamento unico. Di conseguenza il massimale nazionale per il RPU/RPUS è incrementato di tale importo.</t>
  </si>
  <si>
    <t>Massimale (2015)</t>
  </si>
  <si>
    <r>
      <t>56,26%</t>
    </r>
    <r>
      <rPr>
        <vertAlign val="superscript"/>
        <sz val="10"/>
        <color indexed="8"/>
        <rFont val="Times New Roman"/>
        <family val="1"/>
      </rPr>
      <t>1</t>
    </r>
  </si>
  <si>
    <t>Chi ha diritto al pagamento di base e osserva determinate pratiche benefiche per ambiente e clima. Pagamento calcolato su base individuale</t>
  </si>
  <si>
    <t>No</t>
  </si>
  <si>
    <t>Agricoltori attivi che presentano domanda nel 2015 e che hanno ricevuto aiuti per il 2013 o che non hanno ricevuto aiuti ma nel 2013 producevano ortofrutta, patate, vigneti o che hanno ricevuto aiuti da riserva nel 2014 o che non hanno mai posseduto titoli di pagamento e che presentano prova che al 15 maggio 2013 svolgevano attività agricola</t>
  </si>
  <si>
    <t>Chi ha diritto al pagamento di base e che nell'anno di domanda ha meno di 40 anni e si insedia per la prima volta in azienda come capo azienda. Max 90 ettari</t>
  </si>
  <si>
    <t>Agricoltori attivi. Settori interessati: latte, carne bovina, ovi-caprino, frumento duro, colture proteiche e proteaginose (semi oleosi), riso, barbabietola da zucchero, pomodoro destinato alla trasformazione, olio d'oliva</t>
  </si>
  <si>
    <t>€/ha oppure €/capo</t>
  </si>
  <si>
    <t>€/azienda</t>
  </si>
  <si>
    <r>
      <t>Tab. 13.1 -</t>
    </r>
    <r>
      <rPr>
        <i/>
        <sz val="10"/>
        <rFont val="Times New Roman"/>
        <family val="1"/>
      </rPr>
      <t xml:space="preserve"> Italia - Schema relativo al nuovo sistema dei pagamenti diretti per il periodo di programmazione 2014-2020 (2015)</t>
    </r>
  </si>
  <si>
    <r>
      <rPr>
        <i/>
        <sz val="10"/>
        <color indexed="8"/>
        <rFont val="Times New Roman"/>
        <family val="1"/>
      </rPr>
      <t>Fonte</t>
    </r>
    <r>
      <rPr>
        <sz val="10"/>
        <color indexed="8"/>
        <rFont val="Times New Roman"/>
        <family val="1"/>
      </rPr>
      <t>: elaborazioni su dati Mipaaf e bozza di decreto ministeriale.</t>
    </r>
  </si>
  <si>
    <t>-  macellazione IGP</t>
  </si>
  <si>
    <r>
      <rPr>
        <i/>
        <sz val="10"/>
        <rFont val="Times New Roman"/>
        <family val="1"/>
      </rPr>
      <t>Fonte</t>
    </r>
    <r>
      <rPr>
        <sz val="10"/>
        <rFont val="Times New Roman"/>
        <family val="1"/>
      </rPr>
      <t>: banca dati INEA sulla spesa pubblica in agricoltura.</t>
    </r>
  </si>
  <si>
    <t>Spese connesse</t>
  </si>
  <si>
    <t>Nord-Ovest</t>
  </si>
  <si>
    <t>Nord-Est</t>
  </si>
  <si>
    <t>Sud-Isole</t>
  </si>
  <si>
    <t>Totale complessivo</t>
  </si>
  <si>
    <t>programmi alimentari</t>
  </si>
  <si>
    <t>vitivinicolo</t>
  </si>
  <si>
    <t>ortofrutta</t>
  </si>
  <si>
    <t>altro</t>
  </si>
  <si>
    <t>totale interventi</t>
  </si>
  <si>
    <t>aiuti diretti disaccoppiati (RPU)</t>
  </si>
  <si>
    <t xml:space="preserve">sostegno specifico           (art. 68) </t>
  </si>
  <si>
    <t>altri aiuti diretti</t>
  </si>
  <si>
    <t>totale aiuti diretti</t>
  </si>
  <si>
    <t>Totale complessivo I Pilastro</t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</si>
  <si>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Al netto della trattenuta del 3% necessaria ad alimentare la riserva nazionale.</t>
    </r>
  </si>
  <si>
    <t>TOTALE FEAGA</t>
  </si>
  <si>
    <t>Totale SPESA AGRICOLA</t>
  </si>
</sst>
</file>

<file path=xl/styles.xml><?xml version="1.0" encoding="utf-8"?>
<styleSheet xmlns="http://schemas.openxmlformats.org/spreadsheetml/2006/main">
  <numFmts count="10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0.0"/>
    <numFmt numFmtId="166" formatCode="#,##0.000"/>
    <numFmt numFmtId="167" formatCode="#,##0.0000"/>
    <numFmt numFmtId="168" formatCode="_-* #,##0.00\ &quot;FB&quot;_-;\-* #,##0.00\ &quot;FB&quot;_-;_-* &quot;-&quot;??\ &quot;FB&quot;_-;_-@_-"/>
    <numFmt numFmtId="169" formatCode="#,##0.0_);\(#,##0.0\)"/>
    <numFmt numFmtId="170" formatCode="#,##0.0_ ;[Red]\-#,##0.0\ "/>
    <numFmt numFmtId="171" formatCode="_-[$€-2]\ * #,##0.00_-;\-[$€-2]\ * #,##0.00_-;_-[$€-2]\ * &quot;-&quot;??_-"/>
  </numFmts>
  <fonts count="50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2"/>
      <name val="Arial MT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Arial"/>
      <family val="2"/>
    </font>
    <font>
      <vertAlign val="superscript"/>
      <sz val="10"/>
      <color indexed="8"/>
      <name val="Times New Roman"/>
      <family val="1"/>
    </font>
    <font>
      <i/>
      <sz val="10"/>
      <name val="Arial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8" fontId="1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7" fillId="7" borderId="1" applyNumberFormat="0" applyAlignment="0" applyProtection="0"/>
    <xf numFmtId="43" fontId="1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22" borderId="0" applyNumberFormat="0" applyBorder="0" applyAlignment="0" applyProtection="0"/>
    <xf numFmtId="0" fontId="39" fillId="24" borderId="0" applyNumberFormat="0" applyBorder="0" applyAlignment="0" applyProtection="0"/>
    <xf numFmtId="0" fontId="1" fillId="0" borderId="0"/>
    <xf numFmtId="0" fontId="9" fillId="0" borderId="0"/>
    <xf numFmtId="169" fontId="28" fillId="0" borderId="0"/>
    <xf numFmtId="0" fontId="9" fillId="23" borderId="4" applyNumberFormat="0" applyFont="0" applyAlignment="0" applyProtection="0"/>
    <xf numFmtId="0" fontId="10" fillId="16" borderId="5" applyNumberFormat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40" fillId="25" borderId="0" applyNumberFormat="0" applyBorder="0" applyAlignment="0" applyProtection="0"/>
    <xf numFmtId="0" fontId="19" fillId="4" borderId="0" applyNumberFormat="0" applyBorder="0" applyAlignment="0" applyProtection="0"/>
    <xf numFmtId="0" fontId="41" fillId="26" borderId="0" applyNumberFormat="0" applyBorder="0" applyAlignment="0" applyProtection="0"/>
  </cellStyleXfs>
  <cellXfs count="211">
    <xf numFmtId="0" fontId="0" fillId="0" borderId="0" xfId="0"/>
    <xf numFmtId="0" fontId="22" fillId="0" borderId="0" xfId="0" applyFont="1" applyFill="1" applyBorder="1"/>
    <xf numFmtId="0" fontId="22" fillId="0" borderId="10" xfId="0" applyFont="1" applyFill="1" applyBorder="1"/>
    <xf numFmtId="0" fontId="22" fillId="0" borderId="11" xfId="0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64" fontId="22" fillId="0" borderId="0" xfId="0" applyNumberFormat="1" applyFont="1" applyFill="1" applyBorder="1"/>
    <xf numFmtId="165" fontId="21" fillId="0" borderId="0" xfId="0" applyNumberFormat="1" applyFont="1" applyFill="1" applyBorder="1"/>
    <xf numFmtId="0" fontId="21" fillId="0" borderId="0" xfId="0" applyFont="1" applyFill="1" applyBorder="1"/>
    <xf numFmtId="165" fontId="21" fillId="0" borderId="0" xfId="0" applyNumberFormat="1" applyFont="1" applyFill="1" applyAlignment="1">
      <alignment horizontal="right"/>
    </xf>
    <xf numFmtId="164" fontId="22" fillId="0" borderId="0" xfId="0" applyNumberFormat="1" applyFont="1" applyFill="1" applyBorder="1" applyAlignment="1">
      <alignment horizontal="right"/>
    </xf>
    <xf numFmtId="0" fontId="24" fillId="0" borderId="0" xfId="0" applyFont="1" applyFill="1" applyBorder="1"/>
    <xf numFmtId="164" fontId="24" fillId="0" borderId="0" xfId="0" applyNumberFormat="1" applyFont="1" applyFill="1" applyBorder="1"/>
    <xf numFmtId="164" fontId="23" fillId="0" borderId="0" xfId="0" applyNumberFormat="1" applyFont="1" applyFill="1" applyBorder="1"/>
    <xf numFmtId="165" fontId="23" fillId="0" borderId="0" xfId="0" applyNumberFormat="1" applyFont="1" applyFill="1" applyBorder="1" applyAlignment="1">
      <alignment horizontal="right"/>
    </xf>
    <xf numFmtId="0" fontId="24" fillId="0" borderId="10" xfId="0" applyFont="1" applyFill="1" applyBorder="1"/>
    <xf numFmtId="164" fontId="24" fillId="0" borderId="10" xfId="0" applyNumberFormat="1" applyFont="1" applyFill="1" applyBorder="1"/>
    <xf numFmtId="165" fontId="23" fillId="0" borderId="10" xfId="0" applyNumberFormat="1" applyFont="1" applyFill="1" applyBorder="1"/>
    <xf numFmtId="0" fontId="21" fillId="0" borderId="10" xfId="0" applyFont="1" applyFill="1" applyBorder="1"/>
    <xf numFmtId="0" fontId="25" fillId="0" borderId="0" xfId="0" applyFont="1" applyFill="1" applyBorder="1"/>
    <xf numFmtId="0" fontId="22" fillId="0" borderId="0" xfId="0" applyFont="1" applyFill="1"/>
    <xf numFmtId="164" fontId="22" fillId="0" borderId="0" xfId="0" applyNumberFormat="1" applyFont="1" applyFill="1"/>
    <xf numFmtId="164" fontId="22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22" fillId="0" borderId="0" xfId="0" applyNumberFormat="1" applyFont="1" applyFill="1" applyBorder="1"/>
    <xf numFmtId="164" fontId="26" fillId="0" borderId="0" xfId="0" applyNumberFormat="1" applyFont="1" applyFill="1" applyBorder="1"/>
    <xf numFmtId="164" fontId="24" fillId="0" borderId="0" xfId="0" applyNumberFormat="1" applyFont="1" applyFill="1" applyBorder="1" applyAlignment="1">
      <alignment horizontal="right"/>
    </xf>
    <xf numFmtId="164" fontId="24" fillId="0" borderId="0" xfId="0" applyNumberFormat="1" applyFont="1" applyFill="1"/>
    <xf numFmtId="0" fontId="22" fillId="0" borderId="10" xfId="0" applyNumberFormat="1" applyFont="1" applyFill="1" applyBorder="1" applyAlignment="1">
      <alignment horizontal="center"/>
    </xf>
    <xf numFmtId="164" fontId="24" fillId="0" borderId="0" xfId="0" applyNumberFormat="1" applyFont="1" applyFill="1" applyAlignment="1">
      <alignment horizontal="right"/>
    </xf>
    <xf numFmtId="0" fontId="22" fillId="0" borderId="12" xfId="0" applyNumberFormat="1" applyFont="1" applyFill="1" applyBorder="1" applyAlignment="1">
      <alignment horizontal="center"/>
    </xf>
    <xf numFmtId="165" fontId="22" fillId="0" borderId="0" xfId="0" applyNumberFormat="1" applyFont="1" applyFill="1" applyBorder="1"/>
    <xf numFmtId="0" fontId="29" fillId="0" borderId="0" xfId="0" applyFont="1" applyFill="1" applyBorder="1"/>
    <xf numFmtId="164" fontId="22" fillId="0" borderId="0" xfId="31" applyNumberFormat="1" applyFont="1" applyFill="1"/>
    <xf numFmtId="164" fontId="24" fillId="0" borderId="0" xfId="31" applyNumberFormat="1" applyFont="1" applyFill="1"/>
    <xf numFmtId="164" fontId="24" fillId="0" borderId="0" xfId="31" applyNumberFormat="1" applyFont="1" applyFill="1" applyAlignment="1">
      <alignment wrapText="1"/>
    </xf>
    <xf numFmtId="164" fontId="24" fillId="0" borderId="10" xfId="31" applyNumberFormat="1" applyFont="1" applyFill="1" applyBorder="1"/>
    <xf numFmtId="164" fontId="21" fillId="0" borderId="0" xfId="31" applyNumberFormat="1" applyFont="1" applyFill="1"/>
    <xf numFmtId="0" fontId="22" fillId="0" borderId="11" xfId="0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164" fontId="29" fillId="0" borderId="0" xfId="0" applyNumberFormat="1" applyFont="1" applyFill="1"/>
    <xf numFmtId="164" fontId="26" fillId="0" borderId="0" xfId="0" applyNumberFormat="1" applyFont="1" applyFill="1"/>
    <xf numFmtId="170" fontId="22" fillId="0" borderId="0" xfId="41" applyNumberFormat="1" applyFont="1" applyFill="1"/>
    <xf numFmtId="165" fontId="23" fillId="0" borderId="10" xfId="0" applyNumberFormat="1" applyFont="1" applyFill="1" applyBorder="1" applyAlignment="1">
      <alignment horizontal="right"/>
    </xf>
    <xf numFmtId="3" fontId="22" fillId="0" borderId="10" xfId="0" applyNumberFormat="1" applyFont="1" applyFill="1" applyBorder="1"/>
    <xf numFmtId="0" fontId="22" fillId="0" borderId="12" xfId="40" applyFont="1" applyFill="1" applyBorder="1" applyAlignment="1">
      <alignment horizontal="center"/>
    </xf>
    <xf numFmtId="0" fontId="22" fillId="0" borderId="0" xfId="40" applyFont="1" applyFill="1" applyBorder="1"/>
    <xf numFmtId="165" fontId="0" fillId="0" borderId="0" xfId="0" quotePrefix="1" applyNumberFormat="1" applyFill="1" applyAlignment="1">
      <alignment horizontal="right"/>
    </xf>
    <xf numFmtId="0" fontId="22" fillId="0" borderId="0" xfId="40" applyFont="1" applyFill="1" applyAlignment="1">
      <alignment horizontal="left"/>
    </xf>
    <xf numFmtId="0" fontId="22" fillId="0" borderId="10" xfId="4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3" fontId="22" fillId="0" borderId="0" xfId="0" applyNumberFormat="1" applyFont="1" applyFill="1"/>
    <xf numFmtId="0" fontId="42" fillId="0" borderId="0" xfId="0" applyFont="1" applyFill="1" applyBorder="1"/>
    <xf numFmtId="0" fontId="43" fillId="0" borderId="0" xfId="0" applyFont="1" applyFill="1" applyBorder="1"/>
    <xf numFmtId="165" fontId="44" fillId="0" borderId="0" xfId="0" applyNumberFormat="1" applyFont="1" applyFill="1" applyBorder="1"/>
    <xf numFmtId="0" fontId="43" fillId="0" borderId="0" xfId="40" applyFont="1" applyFill="1" applyBorder="1" applyAlignment="1">
      <alignment horizontal="center"/>
    </xf>
    <xf numFmtId="164" fontId="45" fillId="0" borderId="0" xfId="0" applyNumberFormat="1" applyFont="1" applyFill="1" applyBorder="1"/>
    <xf numFmtId="165" fontId="45" fillId="0" borderId="0" xfId="0" applyNumberFormat="1" applyFont="1" applyFill="1" applyBorder="1"/>
    <xf numFmtId="164" fontId="22" fillId="0" borderId="0" xfId="31" applyNumberFormat="1" applyFont="1" applyFill="1" applyAlignment="1">
      <alignment horizontal="left" wrapText="1"/>
    </xf>
    <xf numFmtId="0" fontId="24" fillId="0" borderId="0" xfId="0" applyFont="1" applyFill="1" applyAlignment="1">
      <alignment horizontal="right"/>
    </xf>
    <xf numFmtId="0" fontId="22" fillId="0" borderId="12" xfId="40" applyFont="1" applyFill="1" applyBorder="1" applyAlignment="1">
      <alignment horizontal="center" vertical="center"/>
    </xf>
    <xf numFmtId="0" fontId="22" fillId="0" borderId="11" xfId="40" applyFont="1" applyFill="1" applyBorder="1" applyAlignment="1">
      <alignment horizontal="center"/>
    </xf>
    <xf numFmtId="0" fontId="22" fillId="0" borderId="0" xfId="40" applyFont="1" applyFill="1" applyAlignment="1">
      <alignment horizontal="right"/>
    </xf>
    <xf numFmtId="1" fontId="22" fillId="0" borderId="0" xfId="40" applyNumberFormat="1" applyFont="1" applyFill="1" applyBorder="1" applyAlignment="1">
      <alignment horizontal="center"/>
    </xf>
    <xf numFmtId="164" fontId="22" fillId="0" borderId="0" xfId="40" applyNumberFormat="1" applyFont="1" applyFill="1" applyBorder="1" applyAlignment="1">
      <alignment horizontal="center"/>
    </xf>
    <xf numFmtId="0" fontId="29" fillId="0" borderId="0" xfId="0" applyFont="1" applyFill="1"/>
    <xf numFmtId="0" fontId="26" fillId="0" borderId="0" xfId="0" applyFont="1" applyFill="1"/>
    <xf numFmtId="4" fontId="26" fillId="0" borderId="10" xfId="0" applyNumberFormat="1" applyFont="1" applyFill="1" applyBorder="1"/>
    <xf numFmtId="164" fontId="26" fillId="0" borderId="10" xfId="0" quotePrefix="1" applyNumberFormat="1" applyFont="1" applyFill="1" applyBorder="1" applyAlignment="1">
      <alignment horizontal="right"/>
    </xf>
    <xf numFmtId="164" fontId="29" fillId="0" borderId="12" xfId="0" applyNumberFormat="1" applyFont="1" applyFill="1" applyBorder="1" applyAlignment="1">
      <alignment horizontal="center"/>
    </xf>
    <xf numFmtId="1" fontId="29" fillId="0" borderId="10" xfId="0" applyNumberFormat="1" applyFont="1" applyFill="1" applyBorder="1" applyAlignment="1">
      <alignment horizontal="center"/>
    </xf>
    <xf numFmtId="164" fontId="30" fillId="0" borderId="0" xfId="0" applyNumberFormat="1" applyFont="1" applyFill="1"/>
    <xf numFmtId="164" fontId="31" fillId="0" borderId="0" xfId="0" applyNumberFormat="1" applyFont="1" applyFill="1"/>
    <xf numFmtId="0" fontId="22" fillId="0" borderId="11" xfId="0" applyFont="1" applyFill="1" applyBorder="1" applyAlignment="1"/>
    <xf numFmtId="3" fontId="22" fillId="0" borderId="0" xfId="0" applyNumberFormat="1" applyFont="1" applyFill="1" applyBorder="1"/>
    <xf numFmtId="0" fontId="46" fillId="0" borderId="0" xfId="0" applyFont="1" applyFill="1" applyBorder="1" applyAlignment="1">
      <alignment vertical="top"/>
    </xf>
    <xf numFmtId="3" fontId="22" fillId="0" borderId="0" xfId="40" applyNumberFormat="1" applyFont="1" applyFill="1" applyBorder="1" applyAlignment="1">
      <alignment horizontal="center"/>
    </xf>
    <xf numFmtId="3" fontId="24" fillId="0" borderId="0" xfId="40" applyNumberFormat="1" applyFont="1" applyFill="1" applyBorder="1" applyAlignment="1">
      <alignment horizontal="center"/>
    </xf>
    <xf numFmtId="3" fontId="24" fillId="0" borderId="10" xfId="40" applyNumberFormat="1" applyFont="1" applyFill="1" applyBorder="1" applyAlignment="1">
      <alignment horizontal="center"/>
    </xf>
    <xf numFmtId="1" fontId="29" fillId="0" borderId="0" xfId="36" applyNumberFormat="1" applyFont="1" applyFill="1" applyBorder="1" applyAlignment="1">
      <alignment horizontal="center" vertical="center"/>
    </xf>
    <xf numFmtId="3" fontId="26" fillId="0" borderId="0" xfId="36" applyNumberFormat="1" applyFont="1" applyFill="1" applyBorder="1" applyAlignment="1">
      <alignment horizontal="center" vertical="center"/>
    </xf>
    <xf numFmtId="3" fontId="26" fillId="0" borderId="10" xfId="36" applyNumberFormat="1" applyFont="1" applyFill="1" applyBorder="1" applyAlignment="1">
      <alignment horizontal="center" vertical="center"/>
    </xf>
    <xf numFmtId="166" fontId="29" fillId="0" borderId="0" xfId="0" applyNumberFormat="1" applyFont="1" applyFill="1"/>
    <xf numFmtId="167" fontId="29" fillId="0" borderId="0" xfId="0" applyNumberFormat="1" applyFont="1" applyFill="1"/>
    <xf numFmtId="0" fontId="22" fillId="0" borderId="0" xfId="0" applyFont="1" applyFill="1" applyBorder="1" applyAlignment="1">
      <alignment horizontal="right"/>
    </xf>
    <xf numFmtId="164" fontId="22" fillId="0" borderId="0" xfId="31" applyNumberFormat="1" applyFont="1" applyFill="1" applyAlignment="1">
      <alignment wrapText="1"/>
    </xf>
    <xf numFmtId="164" fontId="21" fillId="0" borderId="0" xfId="0" applyNumberFormat="1" applyFont="1" applyFill="1" applyBorder="1" applyAlignment="1">
      <alignment horizontal="right"/>
    </xf>
    <xf numFmtId="164" fontId="23" fillId="0" borderId="0" xfId="0" applyNumberFormat="1" applyFont="1" applyFill="1" applyBorder="1" applyAlignment="1">
      <alignment horizontal="right"/>
    </xf>
    <xf numFmtId="164" fontId="23" fillId="0" borderId="10" xfId="0" applyNumberFormat="1" applyFont="1" applyFill="1" applyBorder="1" applyAlignment="1">
      <alignment horizontal="right"/>
    </xf>
    <xf numFmtId="164" fontId="21" fillId="0" borderId="0" xfId="0" applyNumberFormat="1" applyFont="1" applyFill="1"/>
    <xf numFmtId="164" fontId="23" fillId="0" borderId="0" xfId="0" applyNumberFormat="1" applyFont="1" applyFill="1"/>
    <xf numFmtId="164" fontId="23" fillId="0" borderId="10" xfId="0" applyNumberFormat="1" applyFont="1" applyFill="1" applyBorder="1"/>
    <xf numFmtId="3" fontId="22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center" vertical="top" wrapText="1"/>
    </xf>
    <xf numFmtId="9" fontId="22" fillId="0" borderId="10" xfId="0" quotePrefix="1" applyNumberFormat="1" applyFont="1" applyFill="1" applyBorder="1" applyAlignment="1">
      <alignment horizontal="center" vertical="top" wrapText="1"/>
    </xf>
    <xf numFmtId="9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 wrapText="1"/>
    </xf>
    <xf numFmtId="9" fontId="22" fillId="0" borderId="0" xfId="0" applyNumberFormat="1" applyFont="1" applyFill="1" applyBorder="1" applyAlignment="1">
      <alignment horizontal="center" vertical="top" wrapText="1"/>
    </xf>
    <xf numFmtId="9" fontId="22" fillId="0" borderId="0" xfId="0" quotePrefix="1" applyNumberFormat="1" applyFont="1" applyFill="1" applyBorder="1" applyAlignment="1">
      <alignment horizontal="center" vertical="top" wrapText="1"/>
    </xf>
    <xf numFmtId="9" fontId="22" fillId="0" borderId="0" xfId="44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 wrapText="1"/>
    </xf>
    <xf numFmtId="164" fontId="42" fillId="0" borderId="0" xfId="40" applyNumberFormat="1" applyFont="1" applyFill="1" applyBorder="1" applyAlignment="1">
      <alignment horizontal="right"/>
    </xf>
    <xf numFmtId="164" fontId="42" fillId="0" borderId="0" xfId="40" applyNumberFormat="1" applyFont="1" applyFill="1" applyAlignment="1">
      <alignment horizontal="right"/>
    </xf>
    <xf numFmtId="164" fontId="24" fillId="0" borderId="0" xfId="40" applyNumberFormat="1" applyFont="1" applyFill="1" applyBorder="1" applyAlignment="1">
      <alignment horizontal="right"/>
    </xf>
    <xf numFmtId="0" fontId="22" fillId="0" borderId="0" xfId="40" applyNumberFormat="1" applyFont="1" applyFill="1" applyBorder="1"/>
    <xf numFmtId="164" fontId="22" fillId="0" borderId="0" xfId="40" applyNumberFormat="1" applyFont="1" applyFill="1" applyBorder="1"/>
    <xf numFmtId="164" fontId="22" fillId="0" borderId="0" xfId="40" applyNumberFormat="1" applyFont="1" applyFill="1" applyBorder="1" applyAlignment="1">
      <alignment horizontal="right"/>
    </xf>
    <xf numFmtId="164" fontId="26" fillId="0" borderId="0" xfId="40" applyNumberFormat="1" applyFont="1" applyFill="1" applyBorder="1"/>
    <xf numFmtId="164" fontId="22" fillId="0" borderId="0" xfId="40" applyNumberFormat="1" applyFont="1" applyFill="1"/>
    <xf numFmtId="164" fontId="24" fillId="0" borderId="0" xfId="40" applyNumberFormat="1" applyFont="1" applyFill="1"/>
    <xf numFmtId="164" fontId="24" fillId="0" borderId="0" xfId="40" applyNumberFormat="1" applyFont="1" applyFill="1" applyBorder="1"/>
    <xf numFmtId="164" fontId="24" fillId="0" borderId="0" xfId="40" applyNumberFormat="1" applyFont="1" applyFill="1" applyAlignment="1">
      <alignment horizontal="right"/>
    </xf>
    <xf numFmtId="164" fontId="24" fillId="0" borderId="10" xfId="40" applyNumberFormat="1" applyFont="1" applyFill="1" applyBorder="1"/>
    <xf numFmtId="165" fontId="22" fillId="0" borderId="0" xfId="40" applyNumberFormat="1" applyFont="1" applyFill="1" applyBorder="1"/>
    <xf numFmtId="0" fontId="24" fillId="0" borderId="0" xfId="0" applyFont="1" applyFill="1"/>
    <xf numFmtId="0" fontId="9" fillId="0" borderId="0" xfId="40" applyFill="1"/>
    <xf numFmtId="165" fontId="29" fillId="0" borderId="0" xfId="36" applyNumberFormat="1" applyFont="1" applyFill="1" applyBorder="1" applyAlignment="1">
      <alignment horizontal="center" vertical="center"/>
    </xf>
    <xf numFmtId="1" fontId="9" fillId="0" borderId="0" xfId="40" applyNumberFormat="1" applyFill="1"/>
    <xf numFmtId="1" fontId="41" fillId="0" borderId="0" xfId="56" applyNumberFormat="1" applyFill="1"/>
    <xf numFmtId="1" fontId="39" fillId="0" borderId="0" xfId="38" applyNumberFormat="1" applyFill="1"/>
    <xf numFmtId="1" fontId="40" fillId="0" borderId="0" xfId="54" applyNumberFormat="1" applyFill="1"/>
    <xf numFmtId="165" fontId="9" fillId="0" borderId="0" xfId="40" applyNumberFormat="1" applyFill="1"/>
    <xf numFmtId="1" fontId="24" fillId="0" borderId="0" xfId="40" applyNumberFormat="1" applyFont="1" applyFill="1" applyBorder="1" applyAlignment="1">
      <alignment horizontal="center"/>
    </xf>
    <xf numFmtId="0" fontId="26" fillId="0" borderId="10" xfId="0" applyFont="1" applyFill="1" applyBorder="1"/>
    <xf numFmtId="165" fontId="43" fillId="0" borderId="0" xfId="0" applyNumberFormat="1" applyFont="1" applyFill="1" applyBorder="1"/>
    <xf numFmtId="0" fontId="49" fillId="0" borderId="0" xfId="0" applyFont="1" applyFill="1" applyBorder="1" applyAlignment="1">
      <alignment horizontal="center" vertical="center" wrapText="1"/>
    </xf>
    <xf numFmtId="0" fontId="9" fillId="0" borderId="0" xfId="40" applyFill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0" fontId="22" fillId="0" borderId="0" xfId="33" applyNumberFormat="1" applyFont="1" applyFill="1" applyBorder="1" applyAlignment="1" applyProtection="1">
      <alignment horizontal="left"/>
    </xf>
    <xf numFmtId="0" fontId="24" fillId="0" borderId="0" xfId="40" applyNumberFormat="1" applyFont="1" applyFill="1" applyBorder="1"/>
    <xf numFmtId="0" fontId="22" fillId="0" borderId="0" xfId="33" applyNumberFormat="1" applyFont="1" applyFill="1" applyBorder="1" applyAlignment="1" applyProtection="1"/>
    <xf numFmtId="0" fontId="24" fillId="0" borderId="10" xfId="40" applyNumberFormat="1" applyFont="1" applyFill="1" applyBorder="1"/>
    <xf numFmtId="0" fontId="22" fillId="0" borderId="0" xfId="40" applyNumberFormat="1" applyFont="1" applyFill="1"/>
    <xf numFmtId="0" fontId="24" fillId="0" borderId="0" xfId="40" applyNumberFormat="1" applyFont="1" applyFill="1"/>
    <xf numFmtId="164" fontId="21" fillId="0" borderId="0" xfId="40" applyNumberFormat="1" applyFont="1" applyFill="1" applyBorder="1" applyAlignment="1">
      <alignment horizontal="center"/>
    </xf>
    <xf numFmtId="164" fontId="23" fillId="0" borderId="0" xfId="40" applyNumberFormat="1" applyFont="1" applyFill="1" applyBorder="1" applyAlignment="1">
      <alignment horizontal="center"/>
    </xf>
    <xf numFmtId="164" fontId="23" fillId="0" borderId="10" xfId="40" applyNumberFormat="1" applyFont="1" applyFill="1" applyBorder="1" applyAlignment="1">
      <alignment horizontal="center"/>
    </xf>
    <xf numFmtId="164" fontId="29" fillId="0" borderId="0" xfId="0" quotePrefix="1" applyNumberFormat="1" applyFont="1" applyFill="1" applyAlignment="1">
      <alignment horizontal="right"/>
    </xf>
    <xf numFmtId="3" fontId="22" fillId="0" borderId="0" xfId="0" quotePrefix="1" applyNumberFormat="1" applyFont="1" applyFill="1" applyAlignment="1">
      <alignment horizontal="right"/>
    </xf>
    <xf numFmtId="3" fontId="22" fillId="0" borderId="0" xfId="0" quotePrefix="1" applyNumberFormat="1" applyFont="1" applyFill="1" applyBorder="1" applyAlignment="1">
      <alignment horizontal="right"/>
    </xf>
    <xf numFmtId="3" fontId="22" fillId="0" borderId="10" xfId="0" quotePrefix="1" applyNumberFormat="1" applyFont="1" applyFill="1" applyBorder="1" applyAlignment="1">
      <alignment horizontal="right"/>
    </xf>
    <xf numFmtId="164" fontId="29" fillId="0" borderId="12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/>
    </xf>
    <xf numFmtId="0" fontId="22" fillId="0" borderId="10" xfId="40" applyFont="1" applyFill="1" applyBorder="1" applyAlignment="1">
      <alignment horizontal="center" vertical="center"/>
    </xf>
    <xf numFmtId="0" fontId="0" fillId="0" borderId="0" xfId="0" applyFill="1"/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horizontal="center" vertical="center" wrapText="1"/>
    </xf>
    <xf numFmtId="9" fontId="46" fillId="0" borderId="12" xfId="0" applyNumberFormat="1" applyFont="1" applyFill="1" applyBorder="1" applyAlignment="1">
      <alignment horizontal="center" vertical="center" wrapText="1"/>
    </xf>
    <xf numFmtId="3" fontId="46" fillId="0" borderId="12" xfId="0" applyNumberFormat="1" applyFont="1" applyFill="1" applyBorder="1" applyAlignment="1">
      <alignment horizontal="center" vertical="center" wrapText="1"/>
    </xf>
    <xf numFmtId="3" fontId="46" fillId="0" borderId="12" xfId="0" quotePrefix="1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47" fillId="0" borderId="0" xfId="0" applyFont="1" applyFill="1" applyBorder="1"/>
    <xf numFmtId="0" fontId="20" fillId="0" borderId="0" xfId="40" applyFont="1" applyFill="1"/>
    <xf numFmtId="0" fontId="9" fillId="0" borderId="11" xfId="40" applyFill="1" applyBorder="1"/>
    <xf numFmtId="0" fontId="22" fillId="0" borderId="12" xfId="40" applyFont="1" applyFill="1" applyBorder="1" applyAlignment="1">
      <alignment horizontal="center"/>
    </xf>
    <xf numFmtId="0" fontId="9" fillId="0" borderId="10" xfId="40" applyFill="1" applyBorder="1"/>
    <xf numFmtId="0" fontId="9" fillId="0" borderId="10" xfId="40" applyFill="1" applyBorder="1" applyAlignment="1">
      <alignment vertical="center"/>
    </xf>
    <xf numFmtId="1" fontId="9" fillId="0" borderId="0" xfId="40" applyNumberFormat="1" applyFill="1" applyAlignment="1">
      <alignment horizontal="center"/>
    </xf>
    <xf numFmtId="3" fontId="9" fillId="0" borderId="0" xfId="40" applyNumberFormat="1" applyFill="1" applyAlignment="1">
      <alignment horizontal="center"/>
    </xf>
    <xf numFmtId="0" fontId="9" fillId="0" borderId="0" xfId="40" applyNumberFormat="1" applyFill="1"/>
    <xf numFmtId="1" fontId="9" fillId="0" borderId="0" xfId="40" applyNumberFormat="1" applyFont="1" applyFill="1" applyAlignment="1">
      <alignment horizontal="center"/>
    </xf>
    <xf numFmtId="0" fontId="9" fillId="0" borderId="11" xfId="40" applyFill="1" applyBorder="1" applyAlignment="1">
      <alignment vertical="center"/>
    </xf>
    <xf numFmtId="0" fontId="34" fillId="0" borderId="0" xfId="40" applyFont="1" applyFill="1"/>
    <xf numFmtId="1" fontId="9" fillId="0" borderId="10" xfId="40" applyNumberFormat="1" applyFill="1" applyBorder="1" applyAlignment="1">
      <alignment horizontal="center"/>
    </xf>
    <xf numFmtId="0" fontId="9" fillId="0" borderId="10" xfId="40" applyFill="1" applyBorder="1" applyAlignment="1">
      <alignment horizontal="center"/>
    </xf>
    <xf numFmtId="0" fontId="36" fillId="0" borderId="10" xfId="40" applyFont="1" applyFill="1" applyBorder="1" applyAlignment="1">
      <alignment horizontal="center"/>
    </xf>
    <xf numFmtId="3" fontId="9" fillId="0" borderId="0" xfId="40" applyNumberFormat="1" applyFill="1"/>
    <xf numFmtId="0" fontId="9" fillId="0" borderId="0" xfId="40" applyFont="1" applyFill="1"/>
    <xf numFmtId="1" fontId="34" fillId="0" borderId="0" xfId="40" applyNumberFormat="1" applyFont="1" applyFill="1"/>
    <xf numFmtId="0" fontId="22" fillId="0" borderId="0" xfId="0" applyFont="1" applyFill="1" applyBorder="1" applyAlignment="1">
      <alignment horizontal="justify" vertical="top" wrapText="1"/>
    </xf>
    <xf numFmtId="0" fontId="22" fillId="0" borderId="0" xfId="0" applyFont="1" applyFill="1" applyBorder="1" applyAlignment="1">
      <alignment vertical="top"/>
    </xf>
    <xf numFmtId="3" fontId="22" fillId="0" borderId="0" xfId="0" applyNumberFormat="1" applyFont="1" applyFill="1" applyBorder="1" applyAlignment="1">
      <alignment horizontal="right" vertical="center" wrapText="1"/>
    </xf>
    <xf numFmtId="0" fontId="22" fillId="0" borderId="0" xfId="0" quotePrefix="1" applyFont="1" applyFill="1" applyBorder="1" applyAlignment="1">
      <alignment horizontal="justify" vertical="top" wrapText="1"/>
    </xf>
    <xf numFmtId="3" fontId="22" fillId="0" borderId="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Fill="1" applyBorder="1" applyAlignment="1">
      <alignment horizontal="right" vertical="top" wrapText="1"/>
    </xf>
    <xf numFmtId="0" fontId="22" fillId="0" borderId="10" xfId="0" applyFont="1" applyFill="1" applyBorder="1" applyAlignment="1">
      <alignment horizontal="right" vertical="top" wrapText="1"/>
    </xf>
    <xf numFmtId="9" fontId="22" fillId="0" borderId="10" xfId="0" applyNumberFormat="1" applyFont="1" applyFill="1" applyBorder="1" applyAlignment="1">
      <alignment horizontal="right" vertical="top" wrapText="1"/>
    </xf>
    <xf numFmtId="4" fontId="22" fillId="0" borderId="0" xfId="0" applyNumberFormat="1" applyFont="1" applyFill="1"/>
    <xf numFmtId="0" fontId="22" fillId="0" borderId="0" xfId="0" applyFont="1" applyFill="1" applyBorder="1" applyAlignment="1">
      <alignment horizontal="center" wrapText="1"/>
    </xf>
    <xf numFmtId="0" fontId="26" fillId="0" borderId="0" xfId="0" applyFont="1" applyFill="1" applyBorder="1"/>
    <xf numFmtId="164" fontId="29" fillId="0" borderId="10" xfId="0" applyNumberFormat="1" applyFont="1" applyFill="1" applyBorder="1"/>
    <xf numFmtId="0" fontId="29" fillId="0" borderId="10" xfId="0" applyFont="1" applyFill="1" applyBorder="1"/>
    <xf numFmtId="0" fontId="26" fillId="0" borderId="11" xfId="0" applyFont="1" applyFill="1" applyBorder="1"/>
    <xf numFmtId="0" fontId="26" fillId="0" borderId="1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9" fillId="0" borderId="0" xfId="0" quotePrefix="1" applyFont="1" applyFill="1"/>
    <xf numFmtId="0" fontId="29" fillId="0" borderId="0" xfId="0" applyFont="1" applyFill="1" applyAlignment="1"/>
    <xf numFmtId="0" fontId="22" fillId="0" borderId="11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40" applyFont="1" applyFill="1" applyBorder="1" applyAlignment="1">
      <alignment horizontal="center" wrapText="1"/>
    </xf>
    <xf numFmtId="0" fontId="22" fillId="0" borderId="10" xfId="40" applyFont="1" applyFill="1" applyBorder="1" applyAlignment="1">
      <alignment horizontal="center"/>
    </xf>
    <xf numFmtId="0" fontId="9" fillId="0" borderId="10" xfId="40" applyFill="1" applyBorder="1" applyAlignment="1"/>
  </cellXfs>
  <cellStyles count="57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Currency_4.1.1_EAGGF_RD Measures monitoring_EU-15_by measures - For CD Rom" xfId="28"/>
    <cellStyle name="Euro" xfId="29"/>
    <cellStyle name="Input" xfId="30" builtinId="20" customBuiltin="1"/>
    <cellStyle name="Migliaia" xfId="31" builtinId="3"/>
    <cellStyle name="Migliaia [0] 2" xfId="32"/>
    <cellStyle name="Migliaia [0]_09 cap 19 _Il consolidato del sostegno pubblico 2" xfId="33"/>
    <cellStyle name="Migliaia 2" xfId="34"/>
    <cellStyle name="Migliaia 3" xfId="35"/>
    <cellStyle name="Migliaia_09 cap 19 _Il consolidato del sostegno pubblico 2" xfId="36"/>
    <cellStyle name="Neutrale" xfId="37" builtinId="28" customBuiltin="1"/>
    <cellStyle name="Neutrale 2" xfId="38"/>
    <cellStyle name="Normal_EU" xfId="39"/>
    <cellStyle name="Normale" xfId="0" builtinId="0"/>
    <cellStyle name="Normale 2" xfId="40"/>
    <cellStyle name="Normale_euro2008 FINO febbraio 20081" xfId="41"/>
    <cellStyle name="Nota" xfId="42" builtinId="10" customBuiltin="1"/>
    <cellStyle name="Output" xfId="43" builtinId="21" customBuiltin="1"/>
    <cellStyle name="Percentuale" xfId="44" builtinId="5"/>
    <cellStyle name="Testo avviso" xfId="45" builtinId="11" customBuiltin="1"/>
    <cellStyle name="Testo descrittivo" xfId="46" builtinId="53" customBuiltin="1"/>
    <cellStyle name="Titolo" xfId="47" builtinId="15" customBuiltin="1"/>
    <cellStyle name="Titolo 1" xfId="48" builtinId="16" customBuiltin="1"/>
    <cellStyle name="Titolo 2" xfId="49" builtinId="17" customBuiltin="1"/>
    <cellStyle name="Titolo 3" xfId="50" builtinId="18" customBuiltin="1"/>
    <cellStyle name="Titolo 4" xfId="51" builtinId="19" customBuiltin="1"/>
    <cellStyle name="Totale" xfId="52" builtinId="25" customBuiltin="1"/>
    <cellStyle name="Valore non valido" xfId="53" builtinId="27" customBuiltin="1"/>
    <cellStyle name="Valore non valido 2" xfId="54"/>
    <cellStyle name="Valore valido" xfId="55" builtinId="26" customBuiltin="1"/>
    <cellStyle name="Valore valido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1206500</xdr:colOff>
      <xdr:row>3</xdr:row>
      <xdr:rowOff>50801</xdr:rowOff>
    </xdr:from>
    <xdr:to>
      <xdr:col>0</xdr:col>
      <xdr:colOff>1252219</xdr:colOff>
      <xdr:row>5</xdr:row>
      <xdr:rowOff>114301</xdr:rowOff>
    </xdr:to>
    <xdr:sp macro="" textlink="">
      <xdr:nvSpPr>
        <xdr:cNvPr id="2" name="Parentesi graffa chiusa 1"/>
        <xdr:cNvSpPr/>
      </xdr:nvSpPr>
      <xdr:spPr>
        <a:xfrm>
          <a:off x="1206500" y="863601"/>
          <a:ext cx="45719" cy="3937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0</xdr:col>
      <xdr:colOff>1190625</xdr:colOff>
      <xdr:row>9</xdr:row>
      <xdr:rowOff>79375</xdr:rowOff>
    </xdr:from>
    <xdr:to>
      <xdr:col>0</xdr:col>
      <xdr:colOff>1236344</xdr:colOff>
      <xdr:row>12</xdr:row>
      <xdr:rowOff>88900</xdr:rowOff>
    </xdr:to>
    <xdr:sp macro="" textlink="">
      <xdr:nvSpPr>
        <xdr:cNvPr id="3" name="Parentesi graffa chiusa 2"/>
        <xdr:cNvSpPr/>
      </xdr:nvSpPr>
      <xdr:spPr>
        <a:xfrm>
          <a:off x="1190625" y="1857375"/>
          <a:ext cx="45719" cy="5048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0</xdr:col>
      <xdr:colOff>1206500</xdr:colOff>
      <xdr:row>6</xdr:row>
      <xdr:rowOff>53975</xdr:rowOff>
    </xdr:from>
    <xdr:to>
      <xdr:col>0</xdr:col>
      <xdr:colOff>1252219</xdr:colOff>
      <xdr:row>7</xdr:row>
      <xdr:rowOff>44451</xdr:rowOff>
    </xdr:to>
    <xdr:sp macro="" textlink="">
      <xdr:nvSpPr>
        <xdr:cNvPr id="5" name="Parentesi graffa chiusa 4"/>
        <xdr:cNvSpPr/>
      </xdr:nvSpPr>
      <xdr:spPr>
        <a:xfrm>
          <a:off x="1206500" y="1362075"/>
          <a:ext cx="45719" cy="155576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0</xdr:col>
      <xdr:colOff>1190625</xdr:colOff>
      <xdr:row>17</xdr:row>
      <xdr:rowOff>114301</xdr:rowOff>
    </xdr:from>
    <xdr:to>
      <xdr:col>0</xdr:col>
      <xdr:colOff>1233169</xdr:colOff>
      <xdr:row>19</xdr:row>
      <xdr:rowOff>66675</xdr:rowOff>
    </xdr:to>
    <xdr:sp macro="" textlink="">
      <xdr:nvSpPr>
        <xdr:cNvPr id="6" name="Parentesi graffa chiusa 5"/>
        <xdr:cNvSpPr/>
      </xdr:nvSpPr>
      <xdr:spPr>
        <a:xfrm>
          <a:off x="1190625" y="3213101"/>
          <a:ext cx="42544" cy="282574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da/AppData/Local/Microsoft/Windows/Temporary%20Internet%20Files/Content.Outlook/SF2X312B/Piatto/AGEA%20-%20Fornitura%20FEAGA%20anno%20solare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oni 2013"/>
      <sheetName val="Regioni"/>
      <sheetName val="Totali I° Pilastro"/>
      <sheetName val="Totali II° Pilastro+Tab.4"/>
      <sheetName val="Tabelle 1-2-3 Articolo"/>
      <sheetName val="Tab.1"/>
      <sheetName val="Tab.2"/>
      <sheetName val="Tab.3"/>
      <sheetName val="Tab. 4"/>
      <sheetName val="Tabella riassuntiva"/>
      <sheetName val="Tab.1(new)"/>
      <sheetName val="Tab.2 (new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0">
          <cell r="AL40">
            <v>34.24197942</v>
          </cell>
          <cell r="AP40">
            <v>0.45828161999999972</v>
          </cell>
        </row>
        <row r="41">
          <cell r="AL41">
            <v>7.6177999999999999E-4</v>
          </cell>
          <cell r="AP41">
            <v>0</v>
          </cell>
        </row>
        <row r="42">
          <cell r="AL42">
            <v>33.499329380000006</v>
          </cell>
          <cell r="AP42">
            <v>0.15995806000000218</v>
          </cell>
        </row>
        <row r="43">
          <cell r="AL43">
            <v>25.663678380000025</v>
          </cell>
          <cell r="AP43">
            <v>8.477729999999184E-3</v>
          </cell>
        </row>
        <row r="44">
          <cell r="AL44">
            <v>36.32505175</v>
          </cell>
          <cell r="AP44">
            <v>0.26598161000000098</v>
          </cell>
        </row>
        <row r="45">
          <cell r="AL45">
            <v>4.0334017299999996</v>
          </cell>
          <cell r="AP45">
            <v>2.2987259999999888E-2</v>
          </cell>
        </row>
        <row r="46">
          <cell r="AL46">
            <v>1.5840740699999998</v>
          </cell>
          <cell r="AP46">
            <v>6.3634000000011048E-4</v>
          </cell>
        </row>
        <row r="47">
          <cell r="AL47">
            <v>29.987275550000032</v>
          </cell>
          <cell r="AP47">
            <v>0.2918307199999996</v>
          </cell>
        </row>
        <row r="48">
          <cell r="AL48">
            <v>19.437200269999998</v>
          </cell>
          <cell r="AP48">
            <v>0.31994769999999906</v>
          </cell>
        </row>
        <row r="49">
          <cell r="AL49">
            <v>11.101171050000001</v>
          </cell>
          <cell r="AP49">
            <v>0.14459052000000003</v>
          </cell>
        </row>
        <row r="50">
          <cell r="AL50">
            <v>13.824725540000001</v>
          </cell>
          <cell r="AP50">
            <v>0.28813514000000007</v>
          </cell>
        </row>
        <row r="51">
          <cell r="AL51">
            <v>9.4328197599999992</v>
          </cell>
          <cell r="AP51">
            <v>0.44472170999999933</v>
          </cell>
        </row>
        <row r="52">
          <cell r="AL52">
            <v>3.3429733000000001</v>
          </cell>
          <cell r="AP52">
            <v>0.31918970000000002</v>
          </cell>
        </row>
        <row r="53">
          <cell r="AL53">
            <v>2.3591748900000002</v>
          </cell>
          <cell r="AP53">
            <v>0.23151027999999987</v>
          </cell>
        </row>
        <row r="54">
          <cell r="AL54">
            <v>11.08521498</v>
          </cell>
          <cell r="AP54">
            <v>0.25285588999999969</v>
          </cell>
        </row>
        <row r="55">
          <cell r="AL55">
            <v>22.204619029999996</v>
          </cell>
          <cell r="AP55">
            <v>0.64903191999999921</v>
          </cell>
        </row>
        <row r="56">
          <cell r="AL56">
            <v>9.4378982899999997</v>
          </cell>
          <cell r="AP56">
            <v>0.33260376999999997</v>
          </cell>
        </row>
        <row r="57">
          <cell r="AL57">
            <v>2.3549594099999998</v>
          </cell>
          <cell r="AP57">
            <v>0.11310545000000012</v>
          </cell>
        </row>
        <row r="58">
          <cell r="AL58">
            <v>23.102824569999999</v>
          </cell>
          <cell r="AP58">
            <v>0.29216828000000161</v>
          </cell>
        </row>
        <row r="59">
          <cell r="AL59">
            <v>13.188753179999999</v>
          </cell>
          <cell r="AP59">
            <v>0.56097987999999943</v>
          </cell>
        </row>
      </sheetData>
      <sheetData sheetId="5" refreshError="1"/>
      <sheetData sheetId="6" refreshError="1">
        <row r="23">
          <cell r="B23">
            <v>171.26446115000002</v>
          </cell>
        </row>
        <row r="24">
          <cell r="B24">
            <v>2.2316658700000001</v>
          </cell>
        </row>
        <row r="25">
          <cell r="B25">
            <v>492.97699455999998</v>
          </cell>
        </row>
        <row r="26">
          <cell r="B26">
            <v>22.808548660000014</v>
          </cell>
        </row>
        <row r="27">
          <cell r="B27">
            <v>371.78699577999998</v>
          </cell>
        </row>
        <row r="28">
          <cell r="B28">
            <v>55.445776120000005</v>
          </cell>
        </row>
        <row r="29">
          <cell r="B29">
            <v>5.4198819399999998</v>
          </cell>
        </row>
        <row r="30">
          <cell r="B30">
            <v>239.44127069999993</v>
          </cell>
        </row>
        <row r="31">
          <cell r="B31">
            <v>110.69739168</v>
          </cell>
        </row>
        <row r="32">
          <cell r="B32">
            <v>71.217830800000002</v>
          </cell>
        </row>
        <row r="33">
          <cell r="B33">
            <v>117.70644271</v>
          </cell>
        </row>
        <row r="34">
          <cell r="B34">
            <v>142.12992817</v>
          </cell>
        </row>
        <row r="35">
          <cell r="B35">
            <v>56.523706070000003</v>
          </cell>
        </row>
        <row r="36">
          <cell r="B36">
            <v>42.436713940000004</v>
          </cell>
        </row>
        <row r="37">
          <cell r="B37">
            <v>149.68588410000001</v>
          </cell>
        </row>
        <row r="38">
          <cell r="B38">
            <v>506.87185907000003</v>
          </cell>
        </row>
        <row r="39">
          <cell r="B39">
            <v>94.378505329999996</v>
          </cell>
        </row>
        <row r="40">
          <cell r="B40">
            <v>304.27697323000001</v>
          </cell>
        </row>
        <row r="41">
          <cell r="B41">
            <v>277.53228568000003</v>
          </cell>
        </row>
        <row r="42">
          <cell r="B42">
            <v>158.9220028</v>
          </cell>
        </row>
        <row r="44">
          <cell r="B44">
            <v>3393.7551183599994</v>
          </cell>
        </row>
      </sheetData>
      <sheetData sheetId="7" refreshError="1">
        <row r="21">
          <cell r="B21">
            <v>29.46376493</v>
          </cell>
          <cell r="C21">
            <v>8.1308822900000006</v>
          </cell>
          <cell r="D21">
            <v>5.5175717799999999</v>
          </cell>
          <cell r="E21">
            <v>0.71197975000000002</v>
          </cell>
          <cell r="G21">
            <v>43.824198749999994</v>
          </cell>
        </row>
        <row r="22">
          <cell r="B22">
            <v>1.1604000000000001E-4</v>
          </cell>
          <cell r="C22">
            <v>0</v>
          </cell>
          <cell r="D22">
            <v>0</v>
          </cell>
          <cell r="E22">
            <v>1.0215769999999999E-2</v>
          </cell>
          <cell r="G22">
            <v>1.0331809999999999E-2</v>
          </cell>
        </row>
        <row r="23">
          <cell r="B23">
            <v>21.03131338</v>
          </cell>
          <cell r="C23">
            <v>22.862726010000003</v>
          </cell>
          <cell r="D23">
            <v>19.030471200000001</v>
          </cell>
          <cell r="E23">
            <v>1.5797831400000002</v>
          </cell>
          <cell r="G23">
            <v>64.504293730000001</v>
          </cell>
        </row>
        <row r="24">
          <cell r="B24">
            <v>9.6030321399999998</v>
          </cell>
          <cell r="C24">
            <v>18.75040894</v>
          </cell>
          <cell r="D24">
            <v>24.373176260000001</v>
          </cell>
          <cell r="E24">
            <v>0.18783174999999999</v>
          </cell>
          <cell r="G24">
            <v>52.914449090000005</v>
          </cell>
        </row>
        <row r="25">
          <cell r="B25">
            <v>73.372530870000006</v>
          </cell>
          <cell r="C25">
            <v>2.21084719</v>
          </cell>
          <cell r="D25">
            <v>13.73240848</v>
          </cell>
          <cell r="E25">
            <v>1.7454283700000002</v>
          </cell>
          <cell r="G25">
            <v>91.061214910000004</v>
          </cell>
        </row>
        <row r="26">
          <cell r="B26">
            <v>11.284740939999999</v>
          </cell>
          <cell r="C26">
            <v>0.29820712999999999</v>
          </cell>
          <cell r="D26">
            <v>0.15360391000000001</v>
          </cell>
          <cell r="E26">
            <v>9.0032500000000001E-2</v>
          </cell>
          <cell r="G26">
            <v>11.826584479999998</v>
          </cell>
        </row>
        <row r="27">
          <cell r="B27">
            <v>6.3369540000000002E-2</v>
          </cell>
          <cell r="C27">
            <v>3.3444980000000006E-2</v>
          </cell>
          <cell r="D27">
            <v>0</v>
          </cell>
          <cell r="E27">
            <v>0.67648120999999994</v>
          </cell>
          <cell r="G27">
            <v>0.77329572999999996</v>
          </cell>
        </row>
        <row r="28">
          <cell r="B28">
            <v>26.380981320000004</v>
          </cell>
          <cell r="C28">
            <v>6.5417145899999998</v>
          </cell>
          <cell r="D28">
            <v>92.755666340000005</v>
          </cell>
          <cell r="E28">
            <v>0.57142766999999994</v>
          </cell>
          <cell r="G28">
            <v>126.24978992000001</v>
          </cell>
        </row>
        <row r="29">
          <cell r="B29">
            <v>44.549739029999998</v>
          </cell>
          <cell r="C29">
            <v>0.34699033000000001</v>
          </cell>
          <cell r="D29">
            <v>1.5856026599999999</v>
          </cell>
          <cell r="E29">
            <v>1.1793430900000001</v>
          </cell>
          <cell r="G29">
            <v>47.661675109999997</v>
          </cell>
        </row>
        <row r="30">
          <cell r="B30">
            <v>4.8735746600000001</v>
          </cell>
          <cell r="C30">
            <v>1.637769E-2</v>
          </cell>
          <cell r="D30">
            <v>0</v>
          </cell>
          <cell r="E30">
            <v>0.64236571999999992</v>
          </cell>
          <cell r="G30">
            <v>5.5323180699999996</v>
          </cell>
        </row>
        <row r="31">
          <cell r="B31">
            <v>7.9388438899999993</v>
          </cell>
          <cell r="C31">
            <v>3.0410740000000002E-2</v>
          </cell>
          <cell r="D31">
            <v>1.1369170100000001</v>
          </cell>
          <cell r="E31">
            <v>0.14134863</v>
          </cell>
          <cell r="G31">
            <v>9.247520269999999</v>
          </cell>
        </row>
        <row r="32">
          <cell r="B32">
            <v>5.3722884400000002</v>
          </cell>
          <cell r="C32">
            <v>2.7722420100000003</v>
          </cell>
          <cell r="D32">
            <v>8.1474829800000013</v>
          </cell>
          <cell r="E32">
            <v>29.354441640000001</v>
          </cell>
          <cell r="G32">
            <v>45.646455070000002</v>
          </cell>
        </row>
        <row r="33">
          <cell r="B33">
            <v>13.742579920000001</v>
          </cell>
          <cell r="C33">
            <v>8.1981173300000005</v>
          </cell>
          <cell r="D33">
            <v>1.6473025299999999</v>
          </cell>
          <cell r="E33">
            <v>0.15565956</v>
          </cell>
          <cell r="G33">
            <v>23.743659340000001</v>
          </cell>
        </row>
        <row r="34">
          <cell r="B34">
            <v>1.9345206300000002</v>
          </cell>
          <cell r="C34">
            <v>4.4149899999999997E-3</v>
          </cell>
          <cell r="D34">
            <v>2.2932512099999998</v>
          </cell>
          <cell r="E34">
            <v>2.5933149999999999E-2</v>
          </cell>
          <cell r="G34">
            <v>4.25811998</v>
          </cell>
        </row>
        <row r="35">
          <cell r="B35">
            <v>6.9058453399999991</v>
          </cell>
          <cell r="C35">
            <v>8.5843952099999985</v>
          </cell>
          <cell r="D35">
            <v>12.059499259999999</v>
          </cell>
          <cell r="E35">
            <v>0.24427009000000002</v>
          </cell>
          <cell r="G35">
            <v>27.794009899999999</v>
          </cell>
        </row>
        <row r="36">
          <cell r="B36">
            <v>26.117913819999998</v>
          </cell>
          <cell r="C36">
            <v>23.076261370000001</v>
          </cell>
          <cell r="D36">
            <v>5.1683315099999998</v>
          </cell>
          <cell r="E36">
            <v>3.47511707</v>
          </cell>
          <cell r="G36">
            <v>57.83762377</v>
          </cell>
        </row>
        <row r="37">
          <cell r="B37">
            <v>0.68346057999999998</v>
          </cell>
          <cell r="C37">
            <v>1.7263399999999998E-3</v>
          </cell>
          <cell r="D37">
            <v>3.2333240000000001</v>
          </cell>
          <cell r="E37">
            <v>0.18848271</v>
          </cell>
          <cell r="G37">
            <v>4.1069936299999998</v>
          </cell>
        </row>
        <row r="38">
          <cell r="B38">
            <v>3.0043879600000003</v>
          </cell>
          <cell r="C38">
            <v>0.119242</v>
          </cell>
          <cell r="D38">
            <v>8.0346818799999991</v>
          </cell>
          <cell r="E38">
            <v>3.1419281799999998</v>
          </cell>
          <cell r="G38">
            <v>14.30024002</v>
          </cell>
        </row>
        <row r="39">
          <cell r="B39">
            <v>48.083686439999987</v>
          </cell>
          <cell r="C39">
            <v>0.22143815999999999</v>
          </cell>
          <cell r="D39">
            <v>12.381981420000001</v>
          </cell>
          <cell r="E39">
            <v>0.58457957000000005</v>
          </cell>
          <cell r="G39">
            <v>61.27168558999999</v>
          </cell>
        </row>
        <row r="40">
          <cell r="B40">
            <v>5.0848890199999994</v>
          </cell>
          <cell r="C40">
            <v>2.5268659999999998E-2</v>
          </cell>
          <cell r="D40">
            <v>1.12584749</v>
          </cell>
          <cell r="E40">
            <v>0.14687706</v>
          </cell>
          <cell r="G40">
            <v>6.3828822299999999</v>
          </cell>
        </row>
        <row r="42">
          <cell r="B42">
            <v>339.49157888999997</v>
          </cell>
          <cell r="C42">
            <v>102.22511596</v>
          </cell>
          <cell r="D42">
            <v>212.37711991999998</v>
          </cell>
          <cell r="E42">
            <v>44.853526630000012</v>
          </cell>
          <cell r="G42">
            <v>698.94734139999991</v>
          </cell>
        </row>
      </sheetData>
      <sheetData sheetId="8" refreshError="1"/>
      <sheetData sheetId="9" refreshError="1">
        <row r="30">
          <cell r="R30">
            <v>850.95014420999996</v>
          </cell>
        </row>
        <row r="31">
          <cell r="R31">
            <v>1068.1333143900001</v>
          </cell>
        </row>
        <row r="32">
          <cell r="R32">
            <v>604.83287356999995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75" zoomScaleNormal="75" workbookViewId="0">
      <selection activeCell="A2" sqref="A2"/>
    </sheetView>
  </sheetViews>
  <sheetFormatPr defaultRowHeight="12.75"/>
  <cols>
    <col min="1" max="1" width="21.28515625" style="151" customWidth="1"/>
    <col min="2" max="2" width="14.140625" style="151" customWidth="1"/>
    <col min="3" max="3" width="8.5703125" style="151" customWidth="1"/>
    <col min="4" max="4" width="12.85546875" style="151" customWidth="1"/>
    <col min="5" max="5" width="11.7109375" style="151" customWidth="1"/>
    <col min="6" max="6" width="36.42578125" style="151" customWidth="1"/>
    <col min="7" max="7" width="22.28515625" style="151" customWidth="1"/>
    <col min="8" max="16384" width="9.140625" style="151"/>
  </cols>
  <sheetData>
    <row r="1" spans="1:7">
      <c r="A1" s="1" t="s">
        <v>240</v>
      </c>
    </row>
    <row r="2" spans="1:7">
      <c r="A2" s="1"/>
    </row>
    <row r="3" spans="1:7" ht="20.25" customHeight="1">
      <c r="A3" s="152" t="s">
        <v>157</v>
      </c>
      <c r="B3" s="153"/>
      <c r="C3" s="154" t="s">
        <v>231</v>
      </c>
      <c r="D3" s="154"/>
      <c r="E3" s="152" t="s">
        <v>174</v>
      </c>
      <c r="F3" s="152" t="s">
        <v>173</v>
      </c>
    </row>
    <row r="4" spans="1:7" ht="25.5" customHeight="1">
      <c r="A4" s="155"/>
      <c r="B4" s="156"/>
      <c r="C4" s="131" t="s">
        <v>37</v>
      </c>
      <c r="D4" s="131" t="s">
        <v>158</v>
      </c>
      <c r="E4" s="155"/>
      <c r="F4" s="155"/>
    </row>
    <row r="5" spans="1:7" ht="108" customHeight="1">
      <c r="A5" s="157" t="s">
        <v>175</v>
      </c>
      <c r="B5" s="158" t="s">
        <v>159</v>
      </c>
      <c r="C5" s="159" t="s">
        <v>232</v>
      </c>
      <c r="D5" s="160">
        <v>2195287</v>
      </c>
      <c r="E5" s="158" t="s">
        <v>160</v>
      </c>
      <c r="F5" s="158" t="s">
        <v>235</v>
      </c>
    </row>
    <row r="6" spans="1:7" ht="51">
      <c r="A6" s="157" t="s">
        <v>161</v>
      </c>
      <c r="B6" s="158" t="s">
        <v>159</v>
      </c>
      <c r="C6" s="159">
        <v>0.3</v>
      </c>
      <c r="D6" s="160">
        <v>1170612</v>
      </c>
      <c r="E6" s="158" t="s">
        <v>160</v>
      </c>
      <c r="F6" s="158" t="s">
        <v>233</v>
      </c>
    </row>
    <row r="7" spans="1:7" ht="61.5" customHeight="1">
      <c r="A7" s="157" t="s">
        <v>176</v>
      </c>
      <c r="B7" s="158" t="s">
        <v>159</v>
      </c>
      <c r="C7" s="159">
        <v>0.01</v>
      </c>
      <c r="D7" s="160">
        <v>39020</v>
      </c>
      <c r="E7" s="158" t="s">
        <v>160</v>
      </c>
      <c r="F7" s="158" t="s">
        <v>236</v>
      </c>
    </row>
    <row r="8" spans="1:7" ht="25.5">
      <c r="A8" s="157" t="s">
        <v>162</v>
      </c>
      <c r="B8" s="158" t="s">
        <v>163</v>
      </c>
      <c r="C8" s="158" t="s">
        <v>234</v>
      </c>
      <c r="D8" s="161" t="s">
        <v>33</v>
      </c>
      <c r="E8" s="158"/>
      <c r="F8" s="158"/>
    </row>
    <row r="9" spans="1:7" ht="25.5">
      <c r="A9" s="157" t="s">
        <v>177</v>
      </c>
      <c r="B9" s="158" t="s">
        <v>163</v>
      </c>
      <c r="C9" s="158" t="s">
        <v>234</v>
      </c>
      <c r="D9" s="161" t="s">
        <v>33</v>
      </c>
      <c r="E9" s="158"/>
      <c r="F9" s="158"/>
    </row>
    <row r="10" spans="1:7" ht="75" customHeight="1">
      <c r="A10" s="157" t="s">
        <v>164</v>
      </c>
      <c r="B10" s="158" t="s">
        <v>163</v>
      </c>
      <c r="C10" s="159">
        <v>0.11</v>
      </c>
      <c r="D10" s="160">
        <v>429224</v>
      </c>
      <c r="E10" s="158" t="s">
        <v>238</v>
      </c>
      <c r="F10" s="158" t="s">
        <v>237</v>
      </c>
    </row>
    <row r="11" spans="1:7" ht="41.25" customHeight="1">
      <c r="A11" s="162" t="s">
        <v>165</v>
      </c>
      <c r="B11" s="131" t="s">
        <v>163</v>
      </c>
      <c r="C11" s="131"/>
      <c r="D11" s="131" t="s">
        <v>166</v>
      </c>
      <c r="E11" s="131" t="s">
        <v>239</v>
      </c>
      <c r="F11" s="131" t="s">
        <v>178</v>
      </c>
      <c r="G11" s="129"/>
    </row>
    <row r="12" spans="1:7" s="165" customFormat="1">
      <c r="A12" s="163"/>
      <c r="B12" s="164"/>
      <c r="C12" s="164"/>
      <c r="D12" s="164"/>
      <c r="E12" s="164"/>
      <c r="F12" s="164"/>
    </row>
    <row r="13" spans="1:7" ht="15.75">
      <c r="A13" s="78" t="s">
        <v>259</v>
      </c>
      <c r="B13" s="166"/>
      <c r="C13" s="166"/>
      <c r="D13" s="166"/>
      <c r="E13" s="166"/>
      <c r="F13" s="166"/>
    </row>
    <row r="14" spans="1:7">
      <c r="A14" s="78" t="s">
        <v>241</v>
      </c>
    </row>
  </sheetData>
  <mergeCells count="4">
    <mergeCell ref="C3:D3"/>
    <mergeCell ref="E3:E4"/>
    <mergeCell ref="F3:F4"/>
    <mergeCell ref="A3:A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="75" zoomScaleNormal="75" workbookViewId="0">
      <selection activeCell="A2" sqref="A2"/>
    </sheetView>
  </sheetViews>
  <sheetFormatPr defaultRowHeight="12.75"/>
  <cols>
    <col min="1" max="1" width="38.85546875" style="68" customWidth="1"/>
    <col min="2" max="2" width="13.7109375" style="41" customWidth="1"/>
    <col min="3" max="3" width="8.7109375" style="41" customWidth="1"/>
    <col min="4" max="4" width="3" style="68" customWidth="1"/>
    <col min="5" max="5" width="14.28515625" style="68" customWidth="1"/>
    <col min="6" max="6" width="9" style="68" customWidth="1"/>
    <col min="7" max="7" width="9.5703125" style="68" bestFit="1" customWidth="1"/>
    <col min="8" max="16384" width="9.140625" style="68"/>
  </cols>
  <sheetData>
    <row r="1" spans="1:14" ht="24.75" customHeight="1">
      <c r="A1" s="193" t="s">
        <v>168</v>
      </c>
      <c r="B1" s="193"/>
      <c r="C1" s="193"/>
      <c r="D1" s="193"/>
      <c r="E1" s="193"/>
      <c r="F1" s="193"/>
    </row>
    <row r="2" spans="1:14" s="32" customFormat="1">
      <c r="A2" s="194"/>
      <c r="B2" s="195"/>
      <c r="C2" s="195"/>
      <c r="D2" s="196"/>
    </row>
    <row r="3" spans="1:14">
      <c r="A3" s="197"/>
      <c r="B3" s="145" t="s">
        <v>226</v>
      </c>
      <c r="C3" s="145"/>
      <c r="E3" s="145" t="s">
        <v>227</v>
      </c>
      <c r="F3" s="145"/>
    </row>
    <row r="4" spans="1:14">
      <c r="A4" s="198"/>
      <c r="B4" s="73" t="s">
        <v>36</v>
      </c>
      <c r="C4" s="72" t="s">
        <v>37</v>
      </c>
      <c r="E4" s="73" t="s">
        <v>36</v>
      </c>
      <c r="F4" s="72" t="s">
        <v>37</v>
      </c>
    </row>
    <row r="5" spans="1:14">
      <c r="A5" s="199"/>
      <c r="B5" s="39"/>
      <c r="C5" s="40"/>
      <c r="E5" s="39"/>
      <c r="F5" s="40"/>
    </row>
    <row r="6" spans="1:14">
      <c r="A6" s="68" t="s">
        <v>61</v>
      </c>
      <c r="B6" s="41">
        <v>68942</v>
      </c>
      <c r="C6" s="74">
        <f>B6/$B$29*100</f>
        <v>47.947644416007122</v>
      </c>
      <c r="E6" s="41">
        <v>63986</v>
      </c>
      <c r="F6" s="74">
        <f>E6/$E$29*100</f>
        <v>44.858227502006791</v>
      </c>
    </row>
    <row r="7" spans="1:14">
      <c r="A7" s="68" t="s">
        <v>62</v>
      </c>
      <c r="B7" s="41">
        <v>12621</v>
      </c>
      <c r="C7" s="74">
        <f>B7/$B$29*100</f>
        <v>8.7776278636306735</v>
      </c>
      <c r="E7" s="41">
        <v>16484</v>
      </c>
      <c r="F7" s="74">
        <f>E7/$E$29*100</f>
        <v>11.556325167115931</v>
      </c>
      <c r="G7" s="41"/>
    </row>
    <row r="8" spans="1:14">
      <c r="A8" s="68" t="s">
        <v>63</v>
      </c>
      <c r="B8" s="41">
        <v>56321</v>
      </c>
      <c r="C8" s="74">
        <f>B8/$B$29*100</f>
        <v>39.170016552376445</v>
      </c>
      <c r="E8" s="41">
        <v>47502.3</v>
      </c>
      <c r="F8" s="74">
        <f>E8/$E$29*100</f>
        <v>33.302112653839551</v>
      </c>
      <c r="G8" s="41"/>
    </row>
    <row r="9" spans="1:14">
      <c r="A9" s="200"/>
      <c r="C9" s="74"/>
      <c r="E9" s="41"/>
      <c r="F9" s="74"/>
    </row>
    <row r="10" spans="1:14">
      <c r="A10" s="68" t="s">
        <v>64</v>
      </c>
      <c r="B10" s="41">
        <v>58012</v>
      </c>
      <c r="C10" s="74">
        <f t="shared" ref="C10:C15" si="0">B10/$B$29*100</f>
        <v>40.346069853810526</v>
      </c>
      <c r="E10" s="41">
        <v>59267.199999999997</v>
      </c>
      <c r="F10" s="74">
        <f t="shared" ref="F10:F15" si="1">E10/$E$29*100</f>
        <v>41.550050651813478</v>
      </c>
      <c r="G10" s="85"/>
    </row>
    <row r="11" spans="1:14">
      <c r="A11" s="68" t="s">
        <v>65</v>
      </c>
      <c r="B11" s="41">
        <f>43646+21+239</f>
        <v>43906</v>
      </c>
      <c r="C11" s="74">
        <f t="shared" si="0"/>
        <v>30.53565715716412</v>
      </c>
      <c r="E11" s="41">
        <v>43778.1</v>
      </c>
      <c r="F11" s="74">
        <f t="shared" si="1"/>
        <v>30.691213224855492</v>
      </c>
      <c r="G11" s="86"/>
    </row>
    <row r="12" spans="1:14">
      <c r="A12" s="68" t="s">
        <v>66</v>
      </c>
      <c r="B12" s="41">
        <v>13023</v>
      </c>
      <c r="C12" s="74">
        <f t="shared" si="0"/>
        <v>9.0572100204470534</v>
      </c>
      <c r="E12" s="41">
        <v>13991</v>
      </c>
      <c r="F12" s="74">
        <f t="shared" si="1"/>
        <v>9.8085747035379161</v>
      </c>
    </row>
    <row r="13" spans="1:14">
      <c r="A13" s="68" t="s">
        <v>73</v>
      </c>
      <c r="B13" s="41">
        <f>567+185</f>
        <v>752</v>
      </c>
      <c r="C13" s="74">
        <f t="shared" si="0"/>
        <v>0.52299945752715837</v>
      </c>
      <c r="E13" s="41">
        <v>1017.3</v>
      </c>
      <c r="F13" s="74">
        <f t="shared" si="1"/>
        <v>0.71319155499314713</v>
      </c>
      <c r="N13" s="41"/>
    </row>
    <row r="14" spans="1:14">
      <c r="A14" s="68" t="s">
        <v>60</v>
      </c>
      <c r="B14" s="41">
        <v>265</v>
      </c>
      <c r="C14" s="74">
        <f t="shared" si="0"/>
        <v>0.18430167053816088</v>
      </c>
      <c r="E14" s="41">
        <v>404.6</v>
      </c>
      <c r="F14" s="74">
        <f t="shared" si="1"/>
        <v>0.28365015546075623</v>
      </c>
      <c r="G14" s="41"/>
    </row>
    <row r="15" spans="1:14">
      <c r="A15" s="68" t="s">
        <v>67</v>
      </c>
      <c r="B15" s="41">
        <f>+B10-B11-B12-B13-B14</f>
        <v>66</v>
      </c>
      <c r="C15" s="74">
        <f t="shared" si="0"/>
        <v>4.5901548134032522E-2</v>
      </c>
      <c r="E15" s="41">
        <v>76.2</v>
      </c>
      <c r="F15" s="74">
        <f t="shared" si="1"/>
        <v>5.3421012966163195E-2</v>
      </c>
      <c r="G15" s="41"/>
      <c r="M15" s="41"/>
    </row>
    <row r="16" spans="1:14">
      <c r="A16" s="200"/>
      <c r="C16" s="74"/>
      <c r="E16" s="41"/>
      <c r="F16" s="74"/>
    </row>
    <row r="17" spans="1:10">
      <c r="A17" s="68" t="s">
        <v>72</v>
      </c>
      <c r="B17" s="41">
        <v>1712</v>
      </c>
      <c r="C17" s="74">
        <f>B17/$B$29*100</f>
        <v>1.1906583394767225</v>
      </c>
      <c r="E17" s="41">
        <v>2172</v>
      </c>
      <c r="F17" s="74">
        <f>E17/$E$29*100</f>
        <v>1.5227091884843365</v>
      </c>
    </row>
    <row r="18" spans="1:10">
      <c r="A18" s="68" t="s">
        <v>68</v>
      </c>
      <c r="C18" s="74"/>
      <c r="E18" s="41"/>
      <c r="F18" s="74"/>
    </row>
    <row r="19" spans="1:10">
      <c r="A19" s="68" t="s">
        <v>69</v>
      </c>
      <c r="C19" s="74"/>
      <c r="E19" s="41"/>
      <c r="F19" s="74"/>
      <c r="H19" s="41"/>
      <c r="J19" s="41"/>
    </row>
    <row r="20" spans="1:10">
      <c r="C20" s="74"/>
      <c r="E20" s="41"/>
      <c r="F20" s="74"/>
    </row>
    <row r="21" spans="1:10">
      <c r="A21" s="68" t="s">
        <v>70</v>
      </c>
      <c r="B21" s="41">
        <v>6812</v>
      </c>
      <c r="C21" s="74">
        <f>B21/$B$29*100</f>
        <v>4.7375961498337809</v>
      </c>
      <c r="E21" s="41">
        <v>8325</v>
      </c>
      <c r="F21" s="74">
        <f>E21/$E$29*100</f>
        <v>5.8363508260276715</v>
      </c>
    </row>
    <row r="22" spans="1:10">
      <c r="C22" s="74"/>
      <c r="E22" s="41"/>
      <c r="F22" s="74"/>
    </row>
    <row r="23" spans="1:10">
      <c r="A23" s="68" t="s">
        <v>71</v>
      </c>
      <c r="B23" s="41">
        <v>8235</v>
      </c>
      <c r="C23" s="74">
        <f>B23/$B$29*100</f>
        <v>5.7272613467236031</v>
      </c>
      <c r="E23" s="41">
        <v>8405.1</v>
      </c>
      <c r="F23" s="74">
        <f>E23/$E$29*100</f>
        <v>5.8925059853267481</v>
      </c>
    </row>
    <row r="24" spans="1:10">
      <c r="C24" s="74"/>
      <c r="E24" s="41"/>
      <c r="F24" s="74"/>
    </row>
    <row r="25" spans="1:10">
      <c r="A25" s="68" t="s">
        <v>228</v>
      </c>
      <c r="B25" s="41">
        <v>75</v>
      </c>
      <c r="C25" s="74">
        <f>B25/$B$29*100</f>
        <v>5.216085015230968E-2</v>
      </c>
      <c r="E25" s="41">
        <v>28.6</v>
      </c>
      <c r="F25" s="74">
        <f>E25/$E$29*100</f>
        <v>2.0050406441368334E-2</v>
      </c>
    </row>
    <row r="26" spans="1:10">
      <c r="C26" s="74"/>
      <c r="E26" s="41"/>
      <c r="F26" s="74"/>
    </row>
    <row r="27" spans="1:10" s="69" customFormat="1">
      <c r="A27" s="68" t="s">
        <v>229</v>
      </c>
      <c r="B27" s="141" t="s">
        <v>33</v>
      </c>
      <c r="C27" s="141" t="s">
        <v>33</v>
      </c>
      <c r="E27" s="68">
        <v>456.2</v>
      </c>
      <c r="F27" s="74">
        <f>E27/$E$29*100</f>
        <v>0.31982501463469354</v>
      </c>
    </row>
    <row r="28" spans="1:10" s="69" customFormat="1">
      <c r="A28" s="68"/>
      <c r="B28" s="41"/>
      <c r="E28" s="68"/>
      <c r="F28" s="74"/>
    </row>
    <row r="29" spans="1:10" s="69" customFormat="1" ht="13.5">
      <c r="A29" s="69" t="s">
        <v>0</v>
      </c>
      <c r="B29" s="42">
        <v>143786</v>
      </c>
      <c r="C29" s="75">
        <f>+C6+C10+C17+C21+C23+C25</f>
        <v>100.00139095600407</v>
      </c>
      <c r="E29" s="42">
        <v>142640.5</v>
      </c>
      <c r="F29" s="75">
        <f>+F6+F10+F17+F21+F23+F25+F27</f>
        <v>99.999719574735096</v>
      </c>
    </row>
    <row r="30" spans="1:10">
      <c r="A30" s="198"/>
      <c r="B30" s="70"/>
      <c r="C30" s="71"/>
      <c r="D30" s="127"/>
      <c r="E30" s="70"/>
      <c r="F30" s="71"/>
    </row>
    <row r="32" spans="1:10">
      <c r="A32" s="20" t="s">
        <v>153</v>
      </c>
    </row>
    <row r="34" spans="1:5">
      <c r="E34" s="41"/>
    </row>
    <row r="35" spans="1:5">
      <c r="A35" s="201"/>
      <c r="E35" s="41"/>
    </row>
    <row r="36" spans="1:5">
      <c r="E36" s="41"/>
    </row>
    <row r="37" spans="1:5">
      <c r="E37" s="41"/>
    </row>
    <row r="38" spans="1:5">
      <c r="E38" s="41"/>
    </row>
    <row r="39" spans="1:5">
      <c r="E39" s="41"/>
    </row>
    <row r="40" spans="1:5">
      <c r="E40" s="41"/>
    </row>
    <row r="41" spans="1:5">
      <c r="E41" s="41"/>
    </row>
    <row r="42" spans="1:5">
      <c r="E42" s="41"/>
    </row>
    <row r="43" spans="1:5">
      <c r="E43" s="41"/>
    </row>
    <row r="44" spans="1:5">
      <c r="E44" s="41"/>
    </row>
    <row r="45" spans="1:5">
      <c r="E45" s="41"/>
    </row>
    <row r="46" spans="1:5">
      <c r="E46" s="41"/>
    </row>
    <row r="47" spans="1:5">
      <c r="E47" s="41"/>
    </row>
    <row r="48" spans="1:5">
      <c r="E48" s="41"/>
    </row>
    <row r="49" spans="5:5">
      <c r="E49" s="41"/>
    </row>
    <row r="50" spans="5:5">
      <c r="E50" s="41"/>
    </row>
    <row r="51" spans="5:5">
      <c r="E51" s="41"/>
    </row>
    <row r="52" spans="5:5">
      <c r="E52" s="41"/>
    </row>
    <row r="53" spans="5:5">
      <c r="E53" s="41"/>
    </row>
  </sheetData>
  <mergeCells count="3">
    <mergeCell ref="B3:C3"/>
    <mergeCell ref="E3:F3"/>
    <mergeCell ref="A1:F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="75" zoomScaleNormal="75" workbookViewId="0">
      <selection activeCell="A2" sqref="A2"/>
    </sheetView>
  </sheetViews>
  <sheetFormatPr defaultRowHeight="12.75"/>
  <cols>
    <col min="1" max="1" width="15.28515625" style="1" customWidth="1"/>
    <col min="2" max="2" width="9.7109375" style="1" bestFit="1" customWidth="1"/>
    <col min="3" max="3" width="9.28515625" style="1" bestFit="1" customWidth="1"/>
    <col min="4" max="4" width="3.28515625" style="1" customWidth="1"/>
    <col min="5" max="6" width="9.28515625" style="1" bestFit="1" customWidth="1"/>
    <col min="7" max="7" width="2.42578125" style="1" customWidth="1"/>
    <col min="8" max="8" width="20.28515625" style="1" customWidth="1"/>
    <col min="9" max="9" width="9.140625" style="1"/>
    <col min="10" max="10" width="11.28515625" style="1" bestFit="1" customWidth="1"/>
    <col min="11" max="16384" width="9.140625" style="1"/>
  </cols>
  <sheetData>
    <row r="1" spans="1:13">
      <c r="A1" s="1" t="s">
        <v>170</v>
      </c>
    </row>
    <row r="2" spans="1:13">
      <c r="A2" s="2"/>
      <c r="B2" s="2"/>
      <c r="C2" s="2"/>
      <c r="D2" s="2"/>
      <c r="E2" s="2"/>
    </row>
    <row r="3" spans="1:13">
      <c r="F3" s="3"/>
      <c r="G3" s="3"/>
      <c r="H3" s="38" t="s">
        <v>2</v>
      </c>
    </row>
    <row r="4" spans="1:13">
      <c r="B4" s="146" t="s">
        <v>3</v>
      </c>
      <c r="C4" s="146"/>
      <c r="E4" s="146" t="s">
        <v>4</v>
      </c>
      <c r="F4" s="146"/>
      <c r="H4" s="4" t="s">
        <v>5</v>
      </c>
    </row>
    <row r="5" spans="1:13">
      <c r="A5" s="2"/>
      <c r="B5" s="46">
        <v>2012</v>
      </c>
      <c r="C5" s="46">
        <v>2013</v>
      </c>
      <c r="E5" s="46">
        <v>2012</v>
      </c>
      <c r="F5" s="46">
        <v>2013</v>
      </c>
      <c r="H5" s="5" t="s">
        <v>183</v>
      </c>
    </row>
    <row r="6" spans="1:13" ht="15">
      <c r="B6" s="47"/>
      <c r="C6" s="47"/>
      <c r="H6" s="4"/>
      <c r="J6" s="55"/>
      <c r="K6" s="56"/>
      <c r="L6" s="56"/>
      <c r="M6" s="56"/>
    </row>
    <row r="7" spans="1:13" ht="15">
      <c r="A7" s="1" t="s">
        <v>6</v>
      </c>
      <c r="B7" s="43">
        <v>653.4</v>
      </c>
      <c r="C7" s="43">
        <v>645</v>
      </c>
      <c r="E7" s="7">
        <f t="shared" ref="E7:E34" si="0">+B7/$B$36*100</f>
        <v>1.4566840484847943</v>
      </c>
      <c r="F7" s="7">
        <f t="shared" ref="F7:F34" si="1">+C7/$C$36*100</f>
        <v>1.4248138646361883</v>
      </c>
      <c r="G7" s="8"/>
      <c r="H7" s="8">
        <v>2.2000000000000002</v>
      </c>
      <c r="J7" s="128"/>
      <c r="K7" s="147"/>
      <c r="L7" s="147"/>
      <c r="M7" s="148"/>
    </row>
    <row r="8" spans="1:13" ht="15">
      <c r="A8" s="1" t="s">
        <v>7</v>
      </c>
      <c r="B8" s="43">
        <v>425</v>
      </c>
      <c r="C8" s="43">
        <v>537.5</v>
      </c>
      <c r="E8" s="7">
        <f t="shared" si="0"/>
        <v>0.94749115489139513</v>
      </c>
      <c r="F8" s="7">
        <f t="shared" si="1"/>
        <v>1.1873448871968235</v>
      </c>
      <c r="H8" s="7">
        <v>1.1000000000000001</v>
      </c>
      <c r="I8" s="31"/>
      <c r="J8" s="128"/>
      <c r="K8" s="58"/>
      <c r="L8" s="58"/>
      <c r="M8" s="148"/>
    </row>
    <row r="9" spans="1:13" ht="15">
      <c r="A9" s="1" t="s">
        <v>8</v>
      </c>
      <c r="B9" s="43">
        <v>768.9</v>
      </c>
      <c r="C9" s="43">
        <v>838.1</v>
      </c>
      <c r="E9" s="7">
        <f t="shared" si="0"/>
        <v>1.7141787035199851</v>
      </c>
      <c r="F9" s="7">
        <f t="shared" si="1"/>
        <v>1.8513744185295962</v>
      </c>
      <c r="G9" s="8"/>
      <c r="H9" s="7">
        <v>1.2</v>
      </c>
      <c r="I9" s="31"/>
      <c r="J9" s="128"/>
      <c r="K9" s="56"/>
      <c r="L9" s="56"/>
      <c r="M9" s="56"/>
    </row>
    <row r="10" spans="1:13" ht="15">
      <c r="A10" s="1" t="s">
        <v>9</v>
      </c>
      <c r="B10" s="43">
        <v>955.2</v>
      </c>
      <c r="C10" s="43">
        <v>946</v>
      </c>
      <c r="E10" s="7">
        <f t="shared" si="0"/>
        <v>2.1295142380053194</v>
      </c>
      <c r="F10" s="7">
        <f t="shared" si="1"/>
        <v>2.0897270014664096</v>
      </c>
      <c r="G10" s="8"/>
      <c r="H10" s="7">
        <v>3</v>
      </c>
      <c r="I10" s="31"/>
      <c r="J10" s="128"/>
      <c r="K10" s="56"/>
      <c r="L10" s="56"/>
      <c r="M10" s="56"/>
    </row>
    <row r="11" spans="1:13" ht="15">
      <c r="A11" s="1" t="s">
        <v>10</v>
      </c>
      <c r="B11" s="43">
        <v>5446.7</v>
      </c>
      <c r="C11" s="43">
        <v>5355.1</v>
      </c>
      <c r="E11" s="7">
        <f t="shared" si="0"/>
        <v>12.142823701992851</v>
      </c>
      <c r="F11" s="7">
        <f t="shared" si="1"/>
        <v>11.829489498470158</v>
      </c>
      <c r="G11" s="8"/>
      <c r="H11" s="7">
        <v>13.6</v>
      </c>
      <c r="I11" s="31"/>
      <c r="J11" s="128"/>
      <c r="K11" s="57"/>
      <c r="L11" s="57"/>
      <c r="M11" s="57"/>
    </row>
    <row r="12" spans="1:13" ht="15">
      <c r="A12" s="1" t="s">
        <v>11</v>
      </c>
      <c r="B12" s="43">
        <v>91.4</v>
      </c>
      <c r="C12" s="43">
        <v>95.4</v>
      </c>
      <c r="E12" s="7">
        <f t="shared" si="0"/>
        <v>0.2037663330754671</v>
      </c>
      <c r="F12" s="7">
        <f t="shared" si="1"/>
        <v>0.21073991114153853</v>
      </c>
      <c r="G12" s="8"/>
      <c r="H12" s="7">
        <v>0.2</v>
      </c>
      <c r="I12" s="31"/>
      <c r="J12" s="128"/>
      <c r="K12" s="57"/>
      <c r="L12" s="57"/>
      <c r="M12" s="57"/>
    </row>
    <row r="13" spans="1:13" ht="15">
      <c r="A13" s="1" t="s">
        <v>13</v>
      </c>
      <c r="B13" s="43">
        <v>2416.4</v>
      </c>
      <c r="C13" s="43">
        <v>2346.1999999999998</v>
      </c>
      <c r="E13" s="7">
        <f t="shared" si="0"/>
        <v>5.3871002980695701</v>
      </c>
      <c r="F13" s="7">
        <f t="shared" si="1"/>
        <v>5.1827880452859301</v>
      </c>
      <c r="G13" s="8"/>
      <c r="H13" s="7">
        <v>2.5</v>
      </c>
      <c r="I13" s="31"/>
      <c r="J13" s="128"/>
      <c r="K13" s="57"/>
      <c r="L13" s="57"/>
      <c r="M13" s="57"/>
    </row>
    <row r="14" spans="1:13" ht="15">
      <c r="A14" s="1" t="s">
        <v>14</v>
      </c>
      <c r="B14" s="43">
        <v>5868.7</v>
      </c>
      <c r="C14" s="43">
        <v>5935.4</v>
      </c>
      <c r="E14" s="7">
        <f t="shared" si="0"/>
        <v>13.083626684026189</v>
      </c>
      <c r="F14" s="7">
        <f t="shared" si="1"/>
        <v>13.111380173894002</v>
      </c>
      <c r="G14" s="8"/>
      <c r="H14" s="7">
        <v>10.4</v>
      </c>
      <c r="I14" s="31"/>
      <c r="J14" s="128"/>
      <c r="K14" s="57"/>
      <c r="L14" s="57"/>
      <c r="M14" s="57"/>
    </row>
    <row r="15" spans="1:13" ht="15">
      <c r="A15" s="1" t="s">
        <v>15</v>
      </c>
      <c r="B15" s="43">
        <v>8655.7000000000007</v>
      </c>
      <c r="C15" s="43">
        <v>8601.9</v>
      </c>
      <c r="E15" s="7">
        <f t="shared" si="0"/>
        <v>19.296939269161058</v>
      </c>
      <c r="F15" s="7">
        <f t="shared" si="1"/>
        <v>19.001715321262058</v>
      </c>
      <c r="G15" s="8"/>
      <c r="H15" s="7">
        <v>19.100000000000001</v>
      </c>
      <c r="I15" s="31"/>
      <c r="J15" s="128"/>
      <c r="K15" s="57"/>
      <c r="L15" s="57"/>
      <c r="M15" s="57"/>
    </row>
    <row r="16" spans="1:13" ht="15">
      <c r="A16" s="1" t="s">
        <v>12</v>
      </c>
      <c r="B16" s="43">
        <v>1293.2</v>
      </c>
      <c r="C16" s="43">
        <v>1258</v>
      </c>
      <c r="E16" s="7">
        <f t="shared" si="0"/>
        <v>2.8830483800130642</v>
      </c>
      <c r="F16" s="7">
        <f t="shared" si="1"/>
        <v>2.7789392894764728</v>
      </c>
      <c r="G16" s="8"/>
      <c r="H16" s="7">
        <v>1.8</v>
      </c>
      <c r="I16" s="31"/>
      <c r="J16" s="128"/>
      <c r="K16" s="57"/>
      <c r="L16" s="57"/>
      <c r="M16" s="57"/>
    </row>
    <row r="17" spans="1:13" ht="15">
      <c r="A17" s="1" t="s">
        <v>16</v>
      </c>
      <c r="B17" s="43">
        <v>4813.8999999999996</v>
      </c>
      <c r="C17" s="43">
        <v>4662.3</v>
      </c>
      <c r="E17" s="7">
        <f t="shared" si="0"/>
        <v>10.73206510713338</v>
      </c>
      <c r="F17" s="7">
        <f t="shared" si="1"/>
        <v>10.299084776888838</v>
      </c>
      <c r="G17" s="8"/>
      <c r="H17" s="7">
        <v>12</v>
      </c>
      <c r="I17" s="31"/>
      <c r="J17" s="128"/>
      <c r="K17" s="57"/>
      <c r="L17" s="57"/>
      <c r="M17" s="57"/>
    </row>
    <row r="18" spans="1:13" ht="15">
      <c r="A18" s="1" t="s">
        <v>17</v>
      </c>
      <c r="B18" s="43">
        <v>46.2</v>
      </c>
      <c r="C18" s="43">
        <v>50.2</v>
      </c>
      <c r="E18" s="7">
        <f t="shared" si="0"/>
        <v>0.10299786201407637</v>
      </c>
      <c r="F18" s="7">
        <f t="shared" si="1"/>
        <v>0.11089248992982427</v>
      </c>
      <c r="G18" s="8"/>
      <c r="H18" s="7">
        <v>0.2</v>
      </c>
      <c r="I18" s="31"/>
      <c r="J18" s="128"/>
      <c r="K18" s="57"/>
      <c r="L18" s="57"/>
      <c r="M18" s="57"/>
    </row>
    <row r="19" spans="1:13" ht="15">
      <c r="A19" s="1" t="s">
        <v>18</v>
      </c>
      <c r="B19" s="43">
        <v>127.6</v>
      </c>
      <c r="C19" s="43">
        <v>148.4</v>
      </c>
      <c r="E19" s="7">
        <f t="shared" si="0"/>
        <v>0.28447028556268711</v>
      </c>
      <c r="F19" s="7">
        <f t="shared" si="1"/>
        <v>0.3278176395535044</v>
      </c>
      <c r="G19" s="8"/>
      <c r="H19" s="7">
        <v>0.3</v>
      </c>
      <c r="I19" s="31"/>
      <c r="J19" s="128"/>
      <c r="K19" s="57"/>
      <c r="L19" s="57"/>
      <c r="M19" s="57"/>
    </row>
    <row r="20" spans="1:13" ht="15">
      <c r="A20" s="1" t="s">
        <v>19</v>
      </c>
      <c r="B20" s="43">
        <v>332.1</v>
      </c>
      <c r="C20" s="43">
        <v>357.2</v>
      </c>
      <c r="E20" s="7">
        <f t="shared" si="0"/>
        <v>0.74038073538689964</v>
      </c>
      <c r="F20" s="7">
        <f t="shared" si="1"/>
        <v>0.78905970922177748</v>
      </c>
      <c r="G20" s="8"/>
      <c r="H20" s="7">
        <v>0.7</v>
      </c>
      <c r="I20" s="31"/>
      <c r="J20" s="128"/>
      <c r="K20" s="57"/>
      <c r="L20" s="57"/>
      <c r="M20" s="57"/>
    </row>
    <row r="21" spans="1:13" ht="15">
      <c r="A21" s="1" t="s">
        <v>20</v>
      </c>
      <c r="B21" s="43">
        <v>35</v>
      </c>
      <c r="C21" s="43">
        <v>34.299999999999997</v>
      </c>
      <c r="E21" s="7">
        <f t="shared" si="0"/>
        <v>7.8028683343997249E-2</v>
      </c>
      <c r="F21" s="7">
        <f t="shared" si="1"/>
        <v>7.5769171406234501E-2</v>
      </c>
      <c r="G21" s="8"/>
      <c r="H21" s="7">
        <v>0.1</v>
      </c>
      <c r="I21" s="31"/>
      <c r="J21" s="128"/>
      <c r="K21" s="57"/>
      <c r="L21" s="57"/>
      <c r="M21" s="57"/>
    </row>
    <row r="22" spans="1:13" ht="15">
      <c r="A22" s="1" t="s">
        <v>21</v>
      </c>
      <c r="B22" s="43">
        <v>1165.4000000000001</v>
      </c>
      <c r="C22" s="43">
        <v>1272</v>
      </c>
      <c r="E22" s="7">
        <f t="shared" si="0"/>
        <v>2.5981322162598399</v>
      </c>
      <c r="F22" s="7">
        <f t="shared" si="1"/>
        <v>2.8098654818871802</v>
      </c>
      <c r="G22" s="8"/>
      <c r="H22" s="7">
        <v>1.9</v>
      </c>
      <c r="I22" s="31"/>
      <c r="J22" s="128"/>
      <c r="K22" s="57"/>
      <c r="L22" s="57"/>
      <c r="M22" s="57"/>
    </row>
    <row r="23" spans="1:13" ht="15">
      <c r="A23" s="1" t="s">
        <v>22</v>
      </c>
      <c r="B23" s="43">
        <v>5.6</v>
      </c>
      <c r="C23" s="43">
        <v>5.7</v>
      </c>
      <c r="E23" s="7">
        <f t="shared" si="0"/>
        <v>1.2484589335039559E-2</v>
      </c>
      <c r="F23" s="7">
        <f t="shared" si="1"/>
        <v>1.2591378338645383E-2</v>
      </c>
      <c r="G23" s="8"/>
      <c r="H23" s="7">
        <v>0</v>
      </c>
      <c r="I23" s="31"/>
      <c r="J23" s="128"/>
      <c r="K23" s="57"/>
      <c r="L23" s="57"/>
      <c r="M23" s="57"/>
    </row>
    <row r="24" spans="1:13" ht="15">
      <c r="A24" s="1" t="s">
        <v>23</v>
      </c>
      <c r="B24" s="43">
        <v>927.6</v>
      </c>
      <c r="C24" s="43">
        <v>905.6</v>
      </c>
      <c r="E24" s="7">
        <f t="shared" si="0"/>
        <v>2.0679830477111958</v>
      </c>
      <c r="F24" s="7">
        <f t="shared" si="1"/>
        <v>2.0004828462240809</v>
      </c>
      <c r="G24" s="8"/>
      <c r="H24" s="7">
        <v>6.5</v>
      </c>
      <c r="I24" s="31"/>
      <c r="J24" s="128"/>
      <c r="K24" s="57"/>
      <c r="L24" s="57"/>
      <c r="M24" s="57"/>
    </row>
    <row r="25" spans="1:13" ht="15">
      <c r="A25" s="1" t="s">
        <v>24</v>
      </c>
      <c r="B25" s="43">
        <v>743.9</v>
      </c>
      <c r="C25" s="43">
        <v>730</v>
      </c>
      <c r="E25" s="7">
        <f t="shared" si="0"/>
        <v>1.6584439297028444</v>
      </c>
      <c r="F25" s="7">
        <f t="shared" si="1"/>
        <v>1.612580032844058</v>
      </c>
      <c r="G25" s="8"/>
      <c r="H25" s="7">
        <v>1.7</v>
      </c>
      <c r="I25" s="31"/>
      <c r="J25" s="128"/>
      <c r="K25" s="57"/>
      <c r="L25" s="57"/>
      <c r="M25" s="57"/>
    </row>
    <row r="26" spans="1:13" ht="15">
      <c r="A26" s="1" t="s">
        <v>25</v>
      </c>
      <c r="B26" s="43">
        <v>2847.7</v>
      </c>
      <c r="C26" s="43">
        <v>3184.5</v>
      </c>
      <c r="E26" s="7">
        <f t="shared" si="0"/>
        <v>6.3486366159628842</v>
      </c>
      <c r="F26" s="7">
        <f t="shared" si="1"/>
        <v>7.0346042665642496</v>
      </c>
      <c r="G26" s="8"/>
      <c r="H26" s="7">
        <v>5.8</v>
      </c>
      <c r="I26" s="31"/>
      <c r="J26" s="128"/>
      <c r="K26" s="57"/>
      <c r="L26" s="57"/>
      <c r="M26" s="57"/>
    </row>
    <row r="27" spans="1:13" ht="15">
      <c r="A27" s="1" t="s">
        <v>26</v>
      </c>
      <c r="B27" s="43">
        <v>775.7</v>
      </c>
      <c r="C27" s="43">
        <v>769.4</v>
      </c>
      <c r="E27" s="7">
        <f t="shared" si="0"/>
        <v>1.7293385619982478</v>
      </c>
      <c r="F27" s="7">
        <f t="shared" si="1"/>
        <v>1.6996151743427648</v>
      </c>
      <c r="G27" s="8"/>
      <c r="H27" s="7">
        <v>1.6</v>
      </c>
      <c r="I27" s="31"/>
      <c r="J27" s="128"/>
      <c r="K27" s="57"/>
      <c r="L27" s="57"/>
      <c r="M27" s="57"/>
    </row>
    <row r="28" spans="1:13" ht="15">
      <c r="A28" s="1" t="s">
        <v>27</v>
      </c>
      <c r="B28" s="43">
        <v>1022.3</v>
      </c>
      <c r="C28" s="43">
        <v>1206.8</v>
      </c>
      <c r="E28" s="7">
        <f t="shared" si="0"/>
        <v>2.2791063709305255</v>
      </c>
      <c r="F28" s="7">
        <f t="shared" si="1"/>
        <v>2.665837785803026</v>
      </c>
      <c r="H28" s="7">
        <v>3.3</v>
      </c>
      <c r="I28" s="31"/>
      <c r="J28" s="128"/>
      <c r="K28" s="57"/>
      <c r="L28" s="57"/>
      <c r="M28" s="57"/>
    </row>
    <row r="29" spans="1:13" ht="15">
      <c r="A29" s="1" t="s">
        <v>28</v>
      </c>
      <c r="B29" s="43">
        <v>125.3</v>
      </c>
      <c r="C29" s="43">
        <v>138.80000000000001</v>
      </c>
      <c r="E29" s="7">
        <f t="shared" si="0"/>
        <v>0.27934268637151016</v>
      </c>
      <c r="F29" s="7">
        <f t="shared" si="1"/>
        <v>0.30661110761473326</v>
      </c>
      <c r="G29" s="8"/>
      <c r="H29" s="7">
        <v>0.3</v>
      </c>
      <c r="I29" s="31"/>
      <c r="J29" s="128"/>
      <c r="K29" s="57"/>
      <c r="L29" s="57"/>
      <c r="M29" s="57"/>
    </row>
    <row r="30" spans="1:13" ht="15">
      <c r="A30" s="1" t="s">
        <v>29</v>
      </c>
      <c r="B30" s="43">
        <v>332.6</v>
      </c>
      <c r="C30" s="43">
        <v>363.5</v>
      </c>
      <c r="E30" s="7">
        <f t="shared" si="0"/>
        <v>0.74149543086324243</v>
      </c>
      <c r="F30" s="7">
        <f t="shared" si="1"/>
        <v>0.80297649580659602</v>
      </c>
      <c r="G30" s="8"/>
      <c r="H30" s="7">
        <v>0.6</v>
      </c>
      <c r="I30" s="31"/>
      <c r="J30" s="128"/>
      <c r="K30" s="57"/>
      <c r="L30" s="57"/>
      <c r="M30" s="57"/>
    </row>
    <row r="31" spans="1:13" ht="15">
      <c r="A31" s="1" t="s">
        <v>30</v>
      </c>
      <c r="B31" s="43">
        <v>552.29999999999995</v>
      </c>
      <c r="C31" s="43">
        <v>541.5</v>
      </c>
      <c r="E31" s="7">
        <f t="shared" si="0"/>
        <v>1.2312926231682766</v>
      </c>
      <c r="F31" s="7">
        <f t="shared" si="1"/>
        <v>1.1961809421713117</v>
      </c>
      <c r="G31" s="8"/>
      <c r="H31" s="7">
        <v>1.1000000000000001</v>
      </c>
      <c r="I31" s="31"/>
      <c r="J31" s="128"/>
      <c r="K31" s="57"/>
      <c r="L31" s="57"/>
      <c r="M31" s="57"/>
    </row>
    <row r="32" spans="1:13" ht="15">
      <c r="A32" s="1" t="s">
        <v>31</v>
      </c>
      <c r="B32" s="43">
        <v>715.9</v>
      </c>
      <c r="C32" s="43">
        <v>701.9</v>
      </c>
      <c r="E32" s="7">
        <f t="shared" si="0"/>
        <v>1.5960209830276466</v>
      </c>
      <c r="F32" s="7">
        <f t="shared" si="1"/>
        <v>1.5505067466482798</v>
      </c>
      <c r="G32" s="8"/>
      <c r="H32" s="7">
        <v>1.5</v>
      </c>
      <c r="I32" s="31"/>
      <c r="J32" s="128"/>
      <c r="K32" s="57"/>
      <c r="L32" s="57"/>
      <c r="M32" s="57"/>
    </row>
    <row r="33" spans="1:13" ht="15">
      <c r="A33" s="1" t="s">
        <v>32</v>
      </c>
      <c r="B33" s="43">
        <v>3351.7</v>
      </c>
      <c r="C33" s="43">
        <v>3331.3</v>
      </c>
      <c r="E33" s="7">
        <f t="shared" si="0"/>
        <v>7.4722496561164444</v>
      </c>
      <c r="F33" s="7">
        <f t="shared" si="1"/>
        <v>7.3588874841279601</v>
      </c>
      <c r="G33" s="8"/>
      <c r="H33" s="7">
        <v>7.1</v>
      </c>
      <c r="I33" s="31"/>
      <c r="J33" s="128"/>
      <c r="K33" s="57"/>
      <c r="L33" s="57"/>
      <c r="M33" s="57"/>
    </row>
    <row r="34" spans="1:13" ht="16.5">
      <c r="A34" s="1" t="s">
        <v>78</v>
      </c>
      <c r="B34" s="43">
        <v>359.8</v>
      </c>
      <c r="C34" s="43">
        <v>307.2</v>
      </c>
      <c r="E34" s="7">
        <f t="shared" si="0"/>
        <v>0.8021348647762917</v>
      </c>
      <c r="F34" s="7">
        <f t="shared" si="1"/>
        <v>0.67860902204067752</v>
      </c>
      <c r="G34" s="8"/>
      <c r="H34" s="48" t="s">
        <v>33</v>
      </c>
      <c r="I34" s="31"/>
      <c r="J34" s="128"/>
      <c r="K34" s="57"/>
      <c r="L34" s="57"/>
      <c r="M34" s="57"/>
    </row>
    <row r="35" spans="1:13" ht="15">
      <c r="B35" s="43"/>
      <c r="C35" s="43"/>
      <c r="E35" s="7"/>
      <c r="F35" s="7"/>
      <c r="G35" s="8"/>
      <c r="H35" s="9"/>
      <c r="I35" s="31"/>
      <c r="J35" s="128"/>
      <c r="K35" s="57"/>
      <c r="L35" s="57"/>
      <c r="M35" s="57"/>
    </row>
    <row r="36" spans="1:13" ht="15">
      <c r="A36" s="11" t="s">
        <v>0</v>
      </c>
      <c r="B36" s="12">
        <v>44855.3</v>
      </c>
      <c r="C36" s="12">
        <v>45269.071000000004</v>
      </c>
      <c r="E36" s="13">
        <f>SUM(E7:E34)</f>
        <v>99.999777060904719</v>
      </c>
      <c r="F36" s="13">
        <f>SUM(F7:F34)</f>
        <v>100.00028496277291</v>
      </c>
      <c r="G36" s="8"/>
      <c r="H36" s="14">
        <v>100</v>
      </c>
      <c r="I36" s="31"/>
      <c r="J36" s="128"/>
      <c r="K36" s="57"/>
      <c r="L36" s="57"/>
      <c r="M36" s="57"/>
    </row>
    <row r="37" spans="1:13" ht="15">
      <c r="A37" s="15"/>
      <c r="B37" s="16"/>
      <c r="C37" s="16"/>
      <c r="D37" s="2"/>
      <c r="E37" s="17"/>
      <c r="F37" s="17"/>
      <c r="G37" s="18"/>
      <c r="H37" s="44"/>
      <c r="J37" s="56"/>
      <c r="K37" s="57"/>
      <c r="L37" s="57"/>
      <c r="M37" s="57"/>
    </row>
    <row r="38" spans="1:13" ht="15">
      <c r="C38" s="6"/>
      <c r="J38" s="56"/>
      <c r="K38" s="57"/>
      <c r="L38" s="57"/>
      <c r="M38" s="57"/>
    </row>
    <row r="39" spans="1:13" ht="16.5">
      <c r="A39" s="19" t="s">
        <v>77</v>
      </c>
      <c r="J39" s="56"/>
      <c r="K39" s="57"/>
      <c r="L39" s="57"/>
      <c r="M39" s="57"/>
    </row>
    <row r="40" spans="1:13" ht="15">
      <c r="A40" s="8" t="s">
        <v>58</v>
      </c>
      <c r="J40" s="55"/>
      <c r="K40" s="59"/>
      <c r="L40" s="60"/>
      <c r="M40" s="60"/>
    </row>
  </sheetData>
  <mergeCells count="4">
    <mergeCell ref="B4:C4"/>
    <mergeCell ref="E4:F4"/>
    <mergeCell ref="K7:L7"/>
    <mergeCell ref="M7:M8"/>
  </mergeCells>
  <phoneticPr fontId="2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="75" zoomScaleNormal="75" workbookViewId="0">
      <selection activeCell="A2" sqref="A2"/>
    </sheetView>
  </sheetViews>
  <sheetFormatPr defaultRowHeight="12.75"/>
  <cols>
    <col min="1" max="1" width="43.85546875" style="20" customWidth="1"/>
    <col min="2" max="2" width="13.7109375" style="20" customWidth="1"/>
    <col min="3" max="3" width="13" style="20" customWidth="1"/>
    <col min="4" max="4" width="2.140625" style="20" customWidth="1"/>
    <col min="5" max="6" width="13" style="20" customWidth="1"/>
    <col min="7" max="7" width="2.140625" style="20" customWidth="1"/>
    <col min="8" max="8" width="11.28515625" style="20" customWidth="1"/>
    <col min="9" max="9" width="14" style="20" customWidth="1"/>
    <col min="10" max="10" width="2.140625" style="20" customWidth="1"/>
    <col min="11" max="12" width="14" style="20" customWidth="1"/>
    <col min="13" max="13" width="2.5703125" style="20" customWidth="1"/>
    <col min="14" max="14" width="12.42578125" style="20" customWidth="1"/>
    <col min="15" max="15" width="13.140625" style="20" customWidth="1"/>
    <col min="16" max="16384" width="9.140625" style="20"/>
  </cols>
  <sheetData>
    <row r="1" spans="1:17">
      <c r="A1" s="20" t="s">
        <v>169</v>
      </c>
      <c r="B1" s="21"/>
      <c r="C1" s="21"/>
      <c r="D1" s="21"/>
      <c r="E1" s="21"/>
      <c r="F1" s="21"/>
    </row>
    <row r="2" spans="1:17">
      <c r="B2" s="21"/>
      <c r="C2" s="21"/>
      <c r="D2" s="21"/>
      <c r="E2" s="21"/>
      <c r="F2" s="21"/>
    </row>
    <row r="3" spans="1:17">
      <c r="A3" s="3"/>
      <c r="B3" s="149" t="s">
        <v>34</v>
      </c>
      <c r="C3" s="149"/>
      <c r="D3" s="149"/>
      <c r="E3" s="149"/>
      <c r="F3" s="149"/>
      <c r="G3" s="3"/>
      <c r="H3" s="149" t="s">
        <v>16</v>
      </c>
      <c r="I3" s="149"/>
      <c r="J3" s="149"/>
      <c r="K3" s="149"/>
      <c r="L3" s="149"/>
      <c r="M3" s="76"/>
      <c r="N3" s="149" t="s">
        <v>35</v>
      </c>
      <c r="O3" s="149"/>
    </row>
    <row r="4" spans="1:17">
      <c r="B4" s="146" t="s">
        <v>36</v>
      </c>
      <c r="C4" s="146"/>
      <c r="D4" s="4"/>
      <c r="E4" s="146" t="s">
        <v>37</v>
      </c>
      <c r="F4" s="146"/>
      <c r="H4" s="146" t="s">
        <v>36</v>
      </c>
      <c r="I4" s="146"/>
      <c r="J4" s="4"/>
      <c r="K4" s="146" t="s">
        <v>37</v>
      </c>
      <c r="L4" s="146"/>
      <c r="M4" s="1"/>
      <c r="N4" s="149" t="s">
        <v>37</v>
      </c>
      <c r="O4" s="149"/>
    </row>
    <row r="5" spans="1:17">
      <c r="A5" s="2"/>
      <c r="B5" s="28">
        <v>2012</v>
      </c>
      <c r="C5" s="28">
        <v>2013</v>
      </c>
      <c r="D5" s="28"/>
      <c r="E5" s="28">
        <v>2012</v>
      </c>
      <c r="F5" s="28">
        <v>2013</v>
      </c>
      <c r="G5" s="5"/>
      <c r="H5" s="30">
        <v>2012</v>
      </c>
      <c r="I5" s="30">
        <v>2013</v>
      </c>
      <c r="J5" s="28"/>
      <c r="K5" s="28">
        <v>2012</v>
      </c>
      <c r="L5" s="28">
        <v>2013</v>
      </c>
      <c r="M5" s="5"/>
      <c r="N5" s="28">
        <v>2012</v>
      </c>
      <c r="O5" s="28">
        <v>2013</v>
      </c>
    </row>
    <row r="6" spans="1:17">
      <c r="A6" s="1"/>
      <c r="B6" s="24"/>
      <c r="C6" s="24"/>
      <c r="D6" s="24"/>
      <c r="E6" s="24"/>
      <c r="F6" s="24"/>
      <c r="G6" s="1"/>
      <c r="H6" s="6"/>
      <c r="I6" s="6"/>
      <c r="J6" s="6"/>
      <c r="K6" s="6"/>
      <c r="L6" s="6"/>
      <c r="M6" s="1"/>
      <c r="N6" s="1"/>
      <c r="O6" s="1"/>
    </row>
    <row r="7" spans="1:17" ht="13.5">
      <c r="A7" s="11" t="s">
        <v>55</v>
      </c>
      <c r="B7" s="107">
        <v>8.0229999999999997</v>
      </c>
      <c r="C7" s="107">
        <v>6.5570000000000004</v>
      </c>
      <c r="D7" s="26"/>
      <c r="E7" s="90">
        <f>+B7/$B$42*100</f>
        <v>1.7886405208428453E-2</v>
      </c>
      <c r="F7" s="90">
        <f>+C7/$C$42*100</f>
        <v>1.4484503116929436E-2</v>
      </c>
      <c r="G7" s="1"/>
      <c r="H7" s="107" t="s">
        <v>33</v>
      </c>
      <c r="I7" s="107" t="s">
        <v>33</v>
      </c>
      <c r="J7" s="26"/>
      <c r="K7" s="26" t="s">
        <v>33</v>
      </c>
      <c r="L7" s="26" t="s">
        <v>33</v>
      </c>
      <c r="M7" s="11"/>
      <c r="N7" s="26" t="s">
        <v>33</v>
      </c>
      <c r="O7" s="26" t="s">
        <v>33</v>
      </c>
    </row>
    <row r="8" spans="1:17" ht="13.5">
      <c r="A8" s="1"/>
      <c r="B8" s="108"/>
      <c r="C8" s="108"/>
      <c r="D8" s="24"/>
      <c r="E8" s="90"/>
      <c r="F8" s="90"/>
      <c r="G8" s="1"/>
      <c r="H8" s="109"/>
      <c r="I8" s="109"/>
      <c r="J8" s="6"/>
      <c r="K8" s="6"/>
      <c r="L8" s="6"/>
      <c r="M8" s="1"/>
      <c r="N8" s="1"/>
      <c r="O8" s="1"/>
    </row>
    <row r="9" spans="1:17" ht="13.5">
      <c r="A9" s="1" t="s">
        <v>38</v>
      </c>
      <c r="B9" s="109">
        <v>41.872999999999998</v>
      </c>
      <c r="C9" s="109">
        <v>8.7999999999999995E-2</v>
      </c>
      <c r="D9" s="6"/>
      <c r="E9" s="89">
        <f t="shared" ref="E9:E24" si="0">+B9/$B$42*100</f>
        <v>9.3351295686466981E-2</v>
      </c>
      <c r="F9" s="89">
        <f>+C9/$C$42*100</f>
        <v>1.9439320943873573E-4</v>
      </c>
      <c r="G9" s="1"/>
      <c r="H9" s="107" t="s">
        <v>33</v>
      </c>
      <c r="I9" s="107" t="s">
        <v>33</v>
      </c>
      <c r="J9" s="10"/>
      <c r="K9" s="90" t="s">
        <v>33</v>
      </c>
      <c r="L9" s="90" t="s">
        <v>33</v>
      </c>
      <c r="N9" s="10" t="s">
        <v>33</v>
      </c>
      <c r="O9" s="10" t="s">
        <v>33</v>
      </c>
    </row>
    <row r="10" spans="1:17" ht="15">
      <c r="A10" s="1" t="s">
        <v>39</v>
      </c>
      <c r="B10" s="110">
        <v>0.01</v>
      </c>
      <c r="C10" s="107" t="s">
        <v>33</v>
      </c>
      <c r="D10" s="10"/>
      <c r="E10" s="89">
        <f t="shared" si="0"/>
        <v>2.2293911514930143E-5</v>
      </c>
      <c r="F10" s="105" t="s">
        <v>33</v>
      </c>
      <c r="G10" s="1"/>
      <c r="H10" s="107" t="s">
        <v>33</v>
      </c>
      <c r="I10" s="107" t="s">
        <v>33</v>
      </c>
      <c r="J10" s="21"/>
      <c r="K10" s="90" t="s">
        <v>33</v>
      </c>
      <c r="L10" s="90" t="s">
        <v>33</v>
      </c>
      <c r="N10" s="22" t="s">
        <v>33</v>
      </c>
      <c r="O10" s="10" t="s">
        <v>33</v>
      </c>
    </row>
    <row r="11" spans="1:17">
      <c r="A11" s="61" t="s">
        <v>40</v>
      </c>
      <c r="B11" s="109">
        <v>9.1240000000000006</v>
      </c>
      <c r="C11" s="109">
        <v>4.88</v>
      </c>
      <c r="D11" s="6"/>
      <c r="E11" s="89">
        <f t="shared" si="0"/>
        <v>2.0340964866222264E-2</v>
      </c>
      <c r="F11" s="89">
        <f t="shared" ref="F11:F22" si="1">+C11/$C$42*100</f>
        <v>1.0779987068875346E-2</v>
      </c>
      <c r="G11" s="87"/>
      <c r="H11" s="112">
        <v>2.5</v>
      </c>
      <c r="I11" s="112">
        <v>2.2999999999999998</v>
      </c>
      <c r="J11" s="21"/>
      <c r="K11" s="92">
        <f>+H11/$H$42*100</f>
        <v>5.1932944182471595E-2</v>
      </c>
      <c r="L11" s="92">
        <f>+I11/$I$42*100</f>
        <v>4.9331874825729788E-2</v>
      </c>
      <c r="N11" s="6">
        <f>+H11/B11*100</f>
        <v>27.400263042525207</v>
      </c>
      <c r="O11" s="6">
        <f>+I11/C11*100</f>
        <v>47.131147540983605</v>
      </c>
    </row>
    <row r="12" spans="1:17">
      <c r="A12" s="1" t="s">
        <v>41</v>
      </c>
      <c r="B12" s="109">
        <v>515.07100000000003</v>
      </c>
      <c r="C12" s="109">
        <v>491.529</v>
      </c>
      <c r="D12" s="6"/>
      <c r="E12" s="89">
        <f t="shared" si="0"/>
        <v>1.1482947297906583</v>
      </c>
      <c r="F12" s="89">
        <f t="shared" si="1"/>
        <v>1.0857943163887767</v>
      </c>
      <c r="G12" s="1"/>
      <c r="H12" s="112">
        <v>99.2</v>
      </c>
      <c r="I12" s="112">
        <v>97.2</v>
      </c>
      <c r="J12" s="21"/>
      <c r="K12" s="92">
        <f>+H12/$H$42*100</f>
        <v>2.060699225160473</v>
      </c>
      <c r="L12" s="92">
        <f>+I12/$I$42*100</f>
        <v>2.0848079274177982</v>
      </c>
      <c r="N12" s="6">
        <f>+H12/B12*100</f>
        <v>19.25948073178261</v>
      </c>
      <c r="O12" s="6">
        <f>+I12/C12*100</f>
        <v>19.775028533413085</v>
      </c>
    </row>
    <row r="13" spans="1:17" ht="15">
      <c r="A13" s="1" t="s">
        <v>1</v>
      </c>
      <c r="B13" s="109">
        <v>-0.23400000000000001</v>
      </c>
      <c r="C13" s="109">
        <v>-0.14699999999999999</v>
      </c>
      <c r="D13" s="6"/>
      <c r="E13" s="89">
        <f t="shared" si="0"/>
        <v>-5.2167752944936533E-4</v>
      </c>
      <c r="F13" s="89">
        <f t="shared" si="1"/>
        <v>-3.2472502031243358E-4</v>
      </c>
      <c r="G13" s="1"/>
      <c r="H13" s="107" t="s">
        <v>33</v>
      </c>
      <c r="I13" s="107" t="s">
        <v>33</v>
      </c>
      <c r="J13" s="10"/>
      <c r="K13" s="105" t="s">
        <v>33</v>
      </c>
      <c r="L13" s="105" t="s">
        <v>33</v>
      </c>
      <c r="N13" s="22" t="s">
        <v>33</v>
      </c>
      <c r="O13" s="22" t="s">
        <v>33</v>
      </c>
      <c r="Q13" s="21"/>
    </row>
    <row r="14" spans="1:17">
      <c r="A14" s="33" t="s">
        <v>42</v>
      </c>
      <c r="B14" s="109">
        <v>55.348999999999997</v>
      </c>
      <c r="C14" s="109">
        <v>60.939</v>
      </c>
      <c r="D14" s="6"/>
      <c r="E14" s="89">
        <f t="shared" si="0"/>
        <v>0.12339457084398683</v>
      </c>
      <c r="F14" s="89">
        <f t="shared" si="1"/>
        <v>0.13461508852258089</v>
      </c>
      <c r="G14" s="1"/>
      <c r="H14" s="112">
        <v>34.4</v>
      </c>
      <c r="I14" s="112">
        <v>34.799999999999997</v>
      </c>
      <c r="J14" s="21"/>
      <c r="K14" s="92">
        <f>+H14/$H$42*100</f>
        <v>0.71459731195080922</v>
      </c>
      <c r="L14" s="92">
        <f>+I14/$I$42*100</f>
        <v>0.7464127147545202</v>
      </c>
      <c r="N14" s="6">
        <f>+H14/B14*100</f>
        <v>62.151077706914307</v>
      </c>
      <c r="O14" s="6">
        <f>+I14/C14*100</f>
        <v>57.106286614483324</v>
      </c>
    </row>
    <row r="15" spans="1:17" ht="15">
      <c r="A15" s="33" t="s">
        <v>43</v>
      </c>
      <c r="B15" s="109">
        <v>25.161000000000001</v>
      </c>
      <c r="C15" s="109">
        <v>17.14</v>
      </c>
      <c r="D15" s="6"/>
      <c r="E15" s="89">
        <f t="shared" si="0"/>
        <v>5.6093710762715736E-2</v>
      </c>
      <c r="F15" s="89">
        <f t="shared" si="1"/>
        <v>3.7862495565681033E-2</v>
      </c>
      <c r="G15" s="1"/>
      <c r="H15" s="107" t="s">
        <v>33</v>
      </c>
      <c r="I15" s="107" t="s">
        <v>33</v>
      </c>
      <c r="J15" s="26"/>
      <c r="K15" s="105" t="s">
        <v>33</v>
      </c>
      <c r="L15" s="105" t="s">
        <v>33</v>
      </c>
      <c r="N15" s="22" t="s">
        <v>33</v>
      </c>
      <c r="O15" s="10" t="s">
        <v>33</v>
      </c>
    </row>
    <row r="16" spans="1:17">
      <c r="A16" s="33" t="s">
        <v>44</v>
      </c>
      <c r="B16" s="109">
        <v>1071.2049999999999</v>
      </c>
      <c r="C16" s="109">
        <v>1138.086</v>
      </c>
      <c r="D16" s="6"/>
      <c r="E16" s="89">
        <f t="shared" si="0"/>
        <v>2.3881349484350745</v>
      </c>
      <c r="F16" s="89">
        <f t="shared" si="1"/>
        <v>2.5140476154237845</v>
      </c>
      <c r="G16" s="1"/>
      <c r="H16" s="112">
        <v>226.6</v>
      </c>
      <c r="I16" s="112">
        <v>227.6</v>
      </c>
      <c r="J16" s="21"/>
      <c r="K16" s="92">
        <f>+H16/$H$42*100</f>
        <v>4.7072020606992258</v>
      </c>
      <c r="L16" s="92">
        <f>+I16/$I$42*100</f>
        <v>4.8817107436243905</v>
      </c>
      <c r="N16" s="6">
        <f t="shared" ref="N16:O19" si="2">+H16/B16*100</f>
        <v>21.153747415293992</v>
      </c>
      <c r="O16" s="6">
        <f t="shared" si="2"/>
        <v>19.998488690661336</v>
      </c>
    </row>
    <row r="17" spans="1:15">
      <c r="A17" s="33" t="s">
        <v>45</v>
      </c>
      <c r="B17" s="109">
        <v>1072</v>
      </c>
      <c r="C17" s="109">
        <v>1044.232</v>
      </c>
      <c r="D17" s="6"/>
      <c r="E17" s="89">
        <f t="shared" si="0"/>
        <v>2.3899073144005114</v>
      </c>
      <c r="F17" s="89">
        <f t="shared" si="1"/>
        <v>2.3067228395298853</v>
      </c>
      <c r="G17" s="1"/>
      <c r="H17" s="112">
        <v>334</v>
      </c>
      <c r="I17" s="112">
        <v>322</v>
      </c>
      <c r="J17" s="21"/>
      <c r="K17" s="92">
        <f>+H17/$H$42*100</f>
        <v>6.9382413427782046</v>
      </c>
      <c r="L17" s="92">
        <f>+I17/$I$42*100</f>
        <v>6.9064624756021704</v>
      </c>
      <c r="N17" s="6">
        <f t="shared" si="2"/>
        <v>31.156716417910445</v>
      </c>
      <c r="O17" s="6">
        <f t="shared" si="2"/>
        <v>30.836059419745805</v>
      </c>
    </row>
    <row r="18" spans="1:15">
      <c r="A18" s="20" t="s">
        <v>46</v>
      </c>
      <c r="B18" s="109">
        <v>48.713000000000001</v>
      </c>
      <c r="C18" s="109">
        <v>51.481999999999999</v>
      </c>
      <c r="D18" s="6"/>
      <c r="E18" s="89">
        <f t="shared" si="0"/>
        <v>0.1086003311626792</v>
      </c>
      <c r="F18" s="89">
        <f t="shared" si="1"/>
        <v>0.11372444554914767</v>
      </c>
      <c r="H18" s="112">
        <v>8.9</v>
      </c>
      <c r="I18" s="112">
        <v>7.4</v>
      </c>
      <c r="J18" s="21"/>
      <c r="K18" s="92">
        <f>+H18/$H$42*100</f>
        <v>0.18488128128959888</v>
      </c>
      <c r="L18" s="92">
        <f>+I18/$I$42*100</f>
        <v>0.15871994509147846</v>
      </c>
      <c r="N18" s="6">
        <f t="shared" si="2"/>
        <v>18.27027692813007</v>
      </c>
      <c r="O18" s="6">
        <f t="shared" si="2"/>
        <v>14.373955945767452</v>
      </c>
    </row>
    <row r="19" spans="1:15">
      <c r="A19" s="33" t="s">
        <v>47</v>
      </c>
      <c r="B19" s="109">
        <v>328.93400000000003</v>
      </c>
      <c r="C19" s="109">
        <v>227.64500000000001</v>
      </c>
      <c r="D19" s="6"/>
      <c r="E19" s="89">
        <f t="shared" si="0"/>
        <v>0.73332254902520322</v>
      </c>
      <c r="F19" s="89">
        <f t="shared" si="1"/>
        <v>0.50287093366682956</v>
      </c>
      <c r="G19" s="1"/>
      <c r="H19" s="112">
        <v>31.8</v>
      </c>
      <c r="I19" s="107" t="s">
        <v>33</v>
      </c>
      <c r="J19" s="21"/>
      <c r="K19" s="92">
        <f>+H19/$H$42*100</f>
        <v>0.66058705000103868</v>
      </c>
      <c r="L19" s="107" t="s">
        <v>33</v>
      </c>
      <c r="N19" s="6">
        <f t="shared" si="2"/>
        <v>9.6675928909750883</v>
      </c>
      <c r="O19" s="10" t="s">
        <v>33</v>
      </c>
    </row>
    <row r="20" spans="1:15">
      <c r="A20" s="33" t="s">
        <v>48</v>
      </c>
      <c r="B20" s="109">
        <v>67.010000000000005</v>
      </c>
      <c r="C20" s="109">
        <v>70.349000000000004</v>
      </c>
      <c r="D20" s="6"/>
      <c r="E20" s="89">
        <f t="shared" si="0"/>
        <v>0.14939150106154689</v>
      </c>
      <c r="F20" s="89">
        <f t="shared" si="1"/>
        <v>0.15540190785006389</v>
      </c>
      <c r="G20" s="1"/>
      <c r="H20" s="112">
        <v>-18.2</v>
      </c>
      <c r="I20" s="112">
        <v>2.9</v>
      </c>
      <c r="J20" s="21"/>
      <c r="K20" s="107" t="s">
        <v>33</v>
      </c>
      <c r="L20" s="92">
        <f>+I20/$I$42*100</f>
        <v>6.2201059562876693E-2</v>
      </c>
      <c r="N20" s="10" t="s">
        <v>33</v>
      </c>
      <c r="O20" s="6">
        <f t="shared" ref="N20:O23" si="3">+I20/C20*100</f>
        <v>4.1223045103697276</v>
      </c>
    </row>
    <row r="21" spans="1:15">
      <c r="A21" s="33" t="s">
        <v>49</v>
      </c>
      <c r="B21" s="109">
        <v>37.335000000000001</v>
      </c>
      <c r="C21" s="109">
        <v>6.4889999999999999</v>
      </c>
      <c r="D21" s="6"/>
      <c r="E21" s="89">
        <f t="shared" si="0"/>
        <v>8.3234318640991678E-2</v>
      </c>
      <c r="F21" s="89">
        <f t="shared" si="1"/>
        <v>1.433429018236314E-2</v>
      </c>
      <c r="G21" s="1"/>
      <c r="H21" s="112">
        <v>1.5</v>
      </c>
      <c r="I21" s="112">
        <v>0.2</v>
      </c>
      <c r="J21" s="21"/>
      <c r="K21" s="92">
        <f>+H21/$H$42*100</f>
        <v>3.1159766509482958E-2</v>
      </c>
      <c r="L21" s="92">
        <f>+I21/$I$42*100</f>
        <v>4.2897282457156341E-3</v>
      </c>
      <c r="N21" s="6">
        <f t="shared" si="3"/>
        <v>4.0176777822418641</v>
      </c>
      <c r="O21" s="6">
        <f t="shared" si="3"/>
        <v>3.0821390044691017</v>
      </c>
    </row>
    <row r="22" spans="1:15">
      <c r="A22" s="88" t="s">
        <v>50</v>
      </c>
      <c r="B22" s="109">
        <v>134.42099999999999</v>
      </c>
      <c r="C22" s="109">
        <v>80.522000000000006</v>
      </c>
      <c r="D22" s="6"/>
      <c r="E22" s="89">
        <f t="shared" si="0"/>
        <v>0.29967698797484243</v>
      </c>
      <c r="F22" s="89">
        <f t="shared" si="1"/>
        <v>0.17787420466393047</v>
      </c>
      <c r="G22" s="1"/>
      <c r="H22" s="112">
        <v>11.1</v>
      </c>
      <c r="I22" s="112">
        <v>7</v>
      </c>
      <c r="J22" s="21"/>
      <c r="K22" s="92">
        <f>+H22/$H$42*100</f>
        <v>0.23058227217017385</v>
      </c>
      <c r="L22" s="92">
        <f>+I22/$I$42*100</f>
        <v>0.15014048860004717</v>
      </c>
      <c r="N22" s="6">
        <f t="shared" si="3"/>
        <v>8.2576383154417847</v>
      </c>
      <c r="O22" s="6">
        <f t="shared" si="3"/>
        <v>8.6932763716748216</v>
      </c>
    </row>
    <row r="23" spans="1:15" ht="15">
      <c r="A23" s="20" t="s">
        <v>184</v>
      </c>
      <c r="B23" s="109">
        <v>109.699</v>
      </c>
      <c r="C23" s="107" t="s">
        <v>33</v>
      </c>
      <c r="E23" s="89">
        <f t="shared" si="0"/>
        <v>0.24456197992763218</v>
      </c>
      <c r="F23" s="105" t="s">
        <v>33</v>
      </c>
      <c r="H23" s="112">
        <v>26.9</v>
      </c>
      <c r="I23" s="107" t="s">
        <v>33</v>
      </c>
      <c r="K23" s="92">
        <f>+H23/$H$42*100</f>
        <v>0.55879847940339433</v>
      </c>
      <c r="L23" s="107" t="s">
        <v>33</v>
      </c>
      <c r="N23" s="6">
        <f t="shared" si="3"/>
        <v>24.521645593852266</v>
      </c>
      <c r="O23" s="10" t="s">
        <v>33</v>
      </c>
    </row>
    <row r="24" spans="1:15" ht="13.5">
      <c r="A24" s="11" t="s">
        <v>98</v>
      </c>
      <c r="B24" s="111">
        <f>SUM(B9:B23)</f>
        <v>3515.6710000000007</v>
      </c>
      <c r="C24" s="111">
        <f>SUM(C9:C23)</f>
        <v>3193.2339999999999</v>
      </c>
      <c r="D24" s="25"/>
      <c r="E24" s="90">
        <f t="shared" si="0"/>
        <v>7.8378058189605984</v>
      </c>
      <c r="F24" s="90">
        <f>+C24/$C$42*100</f>
        <v>7.0538977926010453</v>
      </c>
      <c r="G24" s="11"/>
      <c r="H24" s="111">
        <v>758.8</v>
      </c>
      <c r="I24" s="111">
        <f>SUM(I11:I22)</f>
        <v>701.4</v>
      </c>
      <c r="J24" s="25"/>
      <c r="K24" s="93">
        <f>+H24/$H$42*100</f>
        <v>15.762687218263777</v>
      </c>
      <c r="L24" s="93">
        <f>+I24/$I$42*100</f>
        <v>15.044076957724728</v>
      </c>
      <c r="M24" s="11"/>
      <c r="N24" s="12">
        <f>+H24/B24*100</f>
        <v>21.583362038142926</v>
      </c>
      <c r="O24" s="12">
        <f>+I24/C24*100</f>
        <v>21.965192654218264</v>
      </c>
    </row>
    <row r="25" spans="1:15" ht="13.5">
      <c r="A25" s="34"/>
      <c r="B25" s="109"/>
      <c r="C25" s="109"/>
      <c r="D25" s="6"/>
      <c r="E25" s="26"/>
      <c r="F25" s="90"/>
      <c r="G25" s="1"/>
      <c r="H25" s="109"/>
      <c r="I25" s="109"/>
      <c r="J25" s="6"/>
      <c r="K25" s="92"/>
      <c r="L25" s="92"/>
      <c r="N25" s="6"/>
      <c r="O25" s="6"/>
    </row>
    <row r="26" spans="1:15">
      <c r="A26" s="33" t="s">
        <v>51</v>
      </c>
      <c r="B26" s="112">
        <v>37665.47</v>
      </c>
      <c r="C26" s="112">
        <v>38842.108999999997</v>
      </c>
      <c r="D26" s="21"/>
      <c r="E26" s="89">
        <f>+B26/$B$42*100</f>
        <v>83.971065534825584</v>
      </c>
      <c r="F26" s="89">
        <f>+C26/$C$42*100</f>
        <v>85.80275261226366</v>
      </c>
      <c r="G26" s="1"/>
      <c r="H26" s="109">
        <v>3802.7</v>
      </c>
      <c r="I26" s="109">
        <v>3832.2</v>
      </c>
      <c r="J26" s="6"/>
      <c r="K26" s="92">
        <f>+H26/$H$42*100</f>
        <v>78.994162737073893</v>
      </c>
      <c r="L26" s="92">
        <f>+I26/$I$42*100</f>
        <v>82.19548291615726</v>
      </c>
      <c r="M26" s="1"/>
      <c r="N26" s="6">
        <f>+H26/B26*100</f>
        <v>10.095984465347172</v>
      </c>
      <c r="O26" s="6">
        <f>+I26/C26*100</f>
        <v>9.8660966117982927</v>
      </c>
    </row>
    <row r="27" spans="1:15" ht="15.75">
      <c r="A27" s="33" t="s">
        <v>79</v>
      </c>
      <c r="B27" s="112">
        <v>3213.93</v>
      </c>
      <c r="C27" s="112">
        <v>2815.9949999999999</v>
      </c>
      <c r="D27" s="21"/>
      <c r="E27" s="89">
        <f>+B27/$B$42*100</f>
        <v>7.1651071035179426</v>
      </c>
      <c r="F27" s="89">
        <f>+C27/$C$42*100</f>
        <v>6.2205716569708258</v>
      </c>
      <c r="G27" s="1"/>
      <c r="H27" s="109">
        <v>253</v>
      </c>
      <c r="I27" s="109">
        <v>127.4</v>
      </c>
      <c r="J27" s="6"/>
      <c r="K27" s="92">
        <f>+H27/$H$42*100</f>
        <v>5.2556139512661257</v>
      </c>
      <c r="L27" s="92">
        <f>+I27/$I$42*100</f>
        <v>2.7325568925208588</v>
      </c>
      <c r="M27" s="1"/>
      <c r="N27" s="6">
        <f>+H27/B27*100</f>
        <v>7.8719822771497832</v>
      </c>
      <c r="O27" s="6">
        <f>+I27/C27*100</f>
        <v>4.5241557602197453</v>
      </c>
    </row>
    <row r="28" spans="1:15" ht="15">
      <c r="A28" s="33" t="s">
        <v>52</v>
      </c>
      <c r="B28" s="112">
        <v>0.64</v>
      </c>
      <c r="C28" s="110">
        <v>0.17299999999999999</v>
      </c>
      <c r="D28" s="21"/>
      <c r="E28" s="89">
        <f>+B28/$B$42*100</f>
        <v>1.4268103369555292E-3</v>
      </c>
      <c r="F28" s="89">
        <f>+C28/$C$42*100</f>
        <v>3.8215937764660547E-4</v>
      </c>
      <c r="G28" s="1"/>
      <c r="H28" s="109">
        <v>-0.1</v>
      </c>
      <c r="I28" s="107" t="s">
        <v>33</v>
      </c>
      <c r="J28" s="6"/>
      <c r="K28" s="105" t="s">
        <v>33</v>
      </c>
      <c r="L28" s="105" t="s">
        <v>33</v>
      </c>
      <c r="M28" s="1"/>
      <c r="N28" s="105" t="s">
        <v>33</v>
      </c>
      <c r="O28" s="10" t="s">
        <v>33</v>
      </c>
    </row>
    <row r="29" spans="1:15" ht="13.5">
      <c r="A29" s="34" t="s">
        <v>59</v>
      </c>
      <c r="B29" s="113">
        <f>+B26+B27+B28</f>
        <v>40880.04</v>
      </c>
      <c r="C29" s="113">
        <f>SUM(C26:C28)</f>
        <v>41658.277000000002</v>
      </c>
      <c r="D29" s="27"/>
      <c r="E29" s="26">
        <f>+B29/$B$42*100</f>
        <v>91.13759944868049</v>
      </c>
      <c r="F29" s="90">
        <f>+C29/$C$42*100</f>
        <v>92.023706428612144</v>
      </c>
      <c r="G29" s="11"/>
      <c r="H29" s="113">
        <f>+H26+H27+H28</f>
        <v>4055.6</v>
      </c>
      <c r="I29" s="113">
        <f>+I26+I27</f>
        <v>3959.6</v>
      </c>
      <c r="J29" s="27"/>
      <c r="K29" s="93">
        <f>+H29/$H$42*100</f>
        <v>84.247699370572732</v>
      </c>
      <c r="L29" s="93">
        <f>+I29/$I$42*100</f>
        <v>84.928039808678108</v>
      </c>
      <c r="M29" s="11"/>
      <c r="N29" s="12">
        <f>+H29/B29*100</f>
        <v>9.9207339327456623</v>
      </c>
      <c r="O29" s="12">
        <f>+I29/C29*100</f>
        <v>9.5049538414658858</v>
      </c>
    </row>
    <row r="30" spans="1:15" ht="13.5">
      <c r="A30" s="33"/>
      <c r="B30" s="109"/>
      <c r="C30" s="109"/>
      <c r="D30" s="6"/>
      <c r="E30" s="26"/>
      <c r="F30" s="90"/>
      <c r="G30" s="1"/>
      <c r="H30" s="117"/>
      <c r="I30" s="117"/>
      <c r="J30" s="31"/>
      <c r="K30" s="92"/>
      <c r="L30" s="92"/>
      <c r="M30" s="1"/>
      <c r="N30" s="6"/>
      <c r="O30" s="6"/>
    </row>
    <row r="31" spans="1:15" ht="15">
      <c r="A31" s="35" t="s">
        <v>53</v>
      </c>
      <c r="B31" s="113">
        <v>-2.7989999999999999</v>
      </c>
      <c r="C31" s="113">
        <v>-1.028</v>
      </c>
      <c r="D31" s="27"/>
      <c r="E31" s="90">
        <f>+B31/$B$42*100</f>
        <v>-6.2400658330289465E-3</v>
      </c>
      <c r="F31" s="90">
        <f>+C31/$C$42*100</f>
        <v>-2.2708661284434133E-3</v>
      </c>
      <c r="G31" s="1"/>
      <c r="H31" s="107">
        <v>-2.5</v>
      </c>
      <c r="I31" s="107">
        <v>-0.9</v>
      </c>
      <c r="J31" s="26"/>
      <c r="K31" s="105" t="s">
        <v>33</v>
      </c>
      <c r="L31" s="105" t="s">
        <v>33</v>
      </c>
      <c r="M31" s="1"/>
      <c r="N31" s="12">
        <f>+H31/B31*100</f>
        <v>89.317613433369061</v>
      </c>
      <c r="O31" s="12">
        <f>+I31/C31*100</f>
        <v>87.548638132295721</v>
      </c>
    </row>
    <row r="32" spans="1:15" ht="13.5">
      <c r="A32" s="34" t="s">
        <v>54</v>
      </c>
      <c r="B32" s="114">
        <v>110.36799999999999</v>
      </c>
      <c r="C32" s="114">
        <v>119.372</v>
      </c>
      <c r="D32" s="12"/>
      <c r="E32" s="90">
        <f>+B32/$B$42*100</f>
        <v>0.24605344260798098</v>
      </c>
      <c r="F32" s="90">
        <f>+C32/$C$42*100</f>
        <v>0.26369438860364502</v>
      </c>
      <c r="G32" s="1"/>
      <c r="H32" s="107">
        <v>2</v>
      </c>
      <c r="I32" s="107">
        <v>2.2000000000000002</v>
      </c>
      <c r="J32" s="26"/>
      <c r="K32" s="93">
        <f>+H32/$H$42*100</f>
        <v>4.1546355345977275E-2</v>
      </c>
      <c r="L32" s="93">
        <f>+I32/$I$42*100</f>
        <v>4.7187010702871977E-2</v>
      </c>
      <c r="M32" s="1"/>
      <c r="N32" s="12">
        <f>+H32/B32*100</f>
        <v>1.8121194549144681</v>
      </c>
      <c r="O32" s="12">
        <f>+I32/C32*100</f>
        <v>1.8429782528566165</v>
      </c>
    </row>
    <row r="33" spans="1:15" ht="13.5">
      <c r="A33" s="34" t="s">
        <v>145</v>
      </c>
      <c r="B33" s="114">
        <v>45.076000000000001</v>
      </c>
      <c r="C33" s="114">
        <v>26.277999999999999</v>
      </c>
      <c r="D33" s="12"/>
      <c r="E33" s="90">
        <f>+B33/$B$42*100</f>
        <v>0.10049203554469911</v>
      </c>
      <c r="F33" s="90">
        <f>+C33/$C$42*100</f>
        <v>5.8048463154898838E-2</v>
      </c>
      <c r="G33" s="1"/>
      <c r="H33" s="107" t="s">
        <v>33</v>
      </c>
      <c r="I33" s="107" t="s">
        <v>33</v>
      </c>
      <c r="J33" s="26"/>
      <c r="K33" s="26" t="s">
        <v>33</v>
      </c>
      <c r="L33" s="26" t="s">
        <v>33</v>
      </c>
      <c r="M33" s="11"/>
      <c r="N33" s="26" t="s">
        <v>33</v>
      </c>
      <c r="O33" s="26" t="s">
        <v>33</v>
      </c>
    </row>
    <row r="34" spans="1:15" ht="13.5">
      <c r="A34" s="34"/>
      <c r="B34" s="114"/>
      <c r="C34" s="114"/>
      <c r="D34" s="12"/>
      <c r="E34" s="90"/>
      <c r="F34" s="90"/>
      <c r="G34" s="1"/>
      <c r="H34" s="107"/>
      <c r="I34" s="107"/>
      <c r="J34" s="26"/>
      <c r="K34" s="26"/>
      <c r="L34" s="26"/>
      <c r="M34" s="11"/>
      <c r="N34" s="26"/>
      <c r="O34" s="26"/>
    </row>
    <row r="35" spans="1:15" ht="13.5">
      <c r="A35" s="118" t="s">
        <v>261</v>
      </c>
      <c r="B35" s="114">
        <f>+B29+B24+B7+B31+B32+B33</f>
        <v>44556.379000000008</v>
      </c>
      <c r="C35" s="114">
        <f>+C29+C24+C7+C31+C32+C33</f>
        <v>45002.69</v>
      </c>
      <c r="E35" s="90">
        <f>+B35/$B$42*100</f>
        <v>99.333597085169174</v>
      </c>
      <c r="F35" s="90">
        <f>+C35/$C$42*100</f>
        <v>99.411560709960227</v>
      </c>
      <c r="H35" s="107">
        <f>+H24+H29+H31+H32</f>
        <v>4813.8999999999996</v>
      </c>
      <c r="I35" s="107">
        <f>+I24+I29+I31+I32</f>
        <v>4662.3</v>
      </c>
      <c r="K35" s="93">
        <f>+H35/$H$42*100</f>
        <v>100</v>
      </c>
      <c r="L35" s="93">
        <f>+I35/$I$42*100</f>
        <v>100</v>
      </c>
      <c r="N35" s="12">
        <f>+H35/B35*100</f>
        <v>10.80406466602683</v>
      </c>
      <c r="O35" s="12">
        <f>+I35/C35*100</f>
        <v>10.360047366057451</v>
      </c>
    </row>
    <row r="36" spans="1:15" ht="13.5">
      <c r="A36" s="118"/>
      <c r="B36" s="114"/>
      <c r="C36" s="114"/>
      <c r="E36" s="90"/>
      <c r="F36" s="90"/>
      <c r="H36" s="107"/>
      <c r="I36" s="107"/>
      <c r="K36" s="93"/>
      <c r="L36" s="93"/>
      <c r="N36" s="12"/>
      <c r="O36" s="12"/>
    </row>
    <row r="37" spans="1:15" ht="13.5">
      <c r="A37" s="34" t="s">
        <v>141</v>
      </c>
      <c r="B37" s="114">
        <v>30.472999999999999</v>
      </c>
      <c r="C37" s="114">
        <v>27.193999999999999</v>
      </c>
      <c r="D37" s="12"/>
      <c r="E37" s="90">
        <f>+B37/$B$42*100</f>
        <v>6.7936236559446625E-2</v>
      </c>
      <c r="F37" s="90">
        <f>+C37/$C$42*100</f>
        <v>6.0071919744056596E-2</v>
      </c>
      <c r="G37" s="1"/>
      <c r="H37" s="107" t="s">
        <v>33</v>
      </c>
      <c r="I37" s="107" t="s">
        <v>33</v>
      </c>
      <c r="J37" s="26"/>
      <c r="K37" s="26" t="s">
        <v>33</v>
      </c>
      <c r="L37" s="26" t="s">
        <v>33</v>
      </c>
      <c r="M37" s="11"/>
      <c r="N37" s="26" t="s">
        <v>33</v>
      </c>
      <c r="O37" s="26" t="s">
        <v>33</v>
      </c>
    </row>
    <row r="38" spans="1:15" ht="13.5">
      <c r="A38" s="34" t="s">
        <v>146</v>
      </c>
      <c r="B38" s="114">
        <v>2.6440000000000001</v>
      </c>
      <c r="C38" s="114">
        <v>1.81</v>
      </c>
      <c r="D38" s="12"/>
      <c r="E38" s="90">
        <f>+B38/$B$42*100</f>
        <v>5.8945102045475303E-3</v>
      </c>
      <c r="F38" s="90">
        <f>+C38/$C$42*100</f>
        <v>3.998314875955815E-3</v>
      </c>
      <c r="G38" s="1"/>
      <c r="H38" s="107" t="s">
        <v>33</v>
      </c>
      <c r="I38" s="107" t="s">
        <v>33</v>
      </c>
      <c r="J38" s="26"/>
      <c r="K38" s="26" t="s">
        <v>33</v>
      </c>
      <c r="L38" s="26" t="s">
        <v>33</v>
      </c>
      <c r="M38" s="11"/>
      <c r="N38" s="26" t="s">
        <v>33</v>
      </c>
      <c r="O38" s="26" t="s">
        <v>33</v>
      </c>
    </row>
    <row r="39" spans="1:15" ht="15">
      <c r="A39" s="34" t="s">
        <v>56</v>
      </c>
      <c r="B39" s="115" t="s">
        <v>33</v>
      </c>
      <c r="C39" s="115" t="s">
        <v>33</v>
      </c>
      <c r="D39" s="29"/>
      <c r="E39" s="106" t="s">
        <v>33</v>
      </c>
      <c r="F39" s="106" t="s">
        <v>33</v>
      </c>
      <c r="G39" s="1"/>
      <c r="H39" s="107" t="s">
        <v>33</v>
      </c>
      <c r="I39" s="107" t="s">
        <v>33</v>
      </c>
      <c r="J39" s="26"/>
      <c r="K39" s="26" t="s">
        <v>33</v>
      </c>
      <c r="L39" s="26" t="s">
        <v>33</v>
      </c>
      <c r="M39" s="11"/>
      <c r="N39" s="26" t="s">
        <v>33</v>
      </c>
      <c r="O39" s="26" t="s">
        <v>33</v>
      </c>
    </row>
    <row r="40" spans="1:15" ht="26.25">
      <c r="A40" s="35" t="s">
        <v>57</v>
      </c>
      <c r="B40" s="114">
        <v>265.8</v>
      </c>
      <c r="C40" s="114">
        <v>237.37700000000001</v>
      </c>
      <c r="D40" s="12"/>
      <c r="E40" s="90">
        <f>+B40/$B$42*100</f>
        <v>0.59257216806684321</v>
      </c>
      <c r="F40" s="90">
        <f>+C40/$C$42*100</f>
        <v>0.52436905541975887</v>
      </c>
      <c r="G40" s="1"/>
      <c r="H40" s="107" t="s">
        <v>33</v>
      </c>
      <c r="I40" s="107" t="s">
        <v>33</v>
      </c>
      <c r="J40" s="26"/>
      <c r="K40" s="26" t="s">
        <v>33</v>
      </c>
      <c r="L40" s="26" t="s">
        <v>33</v>
      </c>
      <c r="M40" s="1"/>
      <c r="N40" s="62" t="s">
        <v>33</v>
      </c>
      <c r="O40" s="62" t="s">
        <v>33</v>
      </c>
    </row>
    <row r="41" spans="1:15" ht="13.5">
      <c r="A41" s="34"/>
      <c r="B41" s="109"/>
      <c r="C41" s="109"/>
      <c r="D41" s="6"/>
      <c r="E41" s="26"/>
      <c r="F41" s="90"/>
      <c r="G41" s="1"/>
      <c r="H41" s="47"/>
      <c r="I41" s="47"/>
      <c r="J41" s="1"/>
      <c r="K41" s="21"/>
      <c r="L41" s="21"/>
      <c r="M41" s="1"/>
      <c r="N41" s="23"/>
      <c r="O41" s="6"/>
    </row>
    <row r="42" spans="1:15" ht="13.5">
      <c r="A42" s="36" t="s">
        <v>260</v>
      </c>
      <c r="B42" s="116">
        <f>+B40+B38+B37+B33+B32+B31+B29+B24+B7</f>
        <v>44855.296000000002</v>
      </c>
      <c r="C42" s="116">
        <f>+C35+C37+C38+C40</f>
        <v>45269.071000000004</v>
      </c>
      <c r="D42" s="16"/>
      <c r="E42" s="91">
        <f>+B42/$B$42*100</f>
        <v>100</v>
      </c>
      <c r="F42" s="91">
        <f>+C42/$C$42*100</f>
        <v>100</v>
      </c>
      <c r="G42" s="2"/>
      <c r="H42" s="116">
        <f>+H35</f>
        <v>4813.8999999999996</v>
      </c>
      <c r="I42" s="116">
        <f>+I35</f>
        <v>4662.3</v>
      </c>
      <c r="J42" s="16"/>
      <c r="K42" s="94">
        <f>+H42/$H$42*100</f>
        <v>100</v>
      </c>
      <c r="L42" s="94">
        <f>+I42/$I$42*100</f>
        <v>100</v>
      </c>
      <c r="M42" s="2"/>
      <c r="N42" s="16">
        <f>+H42/B42*100</f>
        <v>10.732066064172221</v>
      </c>
      <c r="O42" s="16">
        <f>+I42/C42*100</f>
        <v>10.299084776888838</v>
      </c>
    </row>
    <row r="43" spans="1:15">
      <c r="A43" s="37"/>
      <c r="B43" s="6"/>
      <c r="C43" s="6"/>
      <c r="D43" s="6"/>
      <c r="E43" s="6"/>
      <c r="F43" s="6"/>
      <c r="G43" s="1"/>
      <c r="H43" s="1"/>
      <c r="I43" s="1"/>
      <c r="J43" s="1"/>
      <c r="K43" s="1"/>
      <c r="L43" s="1"/>
      <c r="M43" s="1"/>
    </row>
    <row r="44" spans="1:15" ht="15.75">
      <c r="A44" s="19" t="s">
        <v>80</v>
      </c>
      <c r="B44" s="24"/>
      <c r="C44" s="6"/>
      <c r="D44" s="6"/>
      <c r="E44" s="6"/>
      <c r="F44" s="6"/>
      <c r="G44" s="1"/>
      <c r="H44" s="1"/>
      <c r="I44" s="1"/>
      <c r="J44" s="1"/>
      <c r="K44" s="1"/>
      <c r="L44" s="1"/>
      <c r="M44" s="1"/>
    </row>
    <row r="45" spans="1:15">
      <c r="A45" s="8" t="s">
        <v>58</v>
      </c>
    </row>
  </sheetData>
  <mergeCells count="8">
    <mergeCell ref="N3:O3"/>
    <mergeCell ref="B4:C4"/>
    <mergeCell ref="H4:I4"/>
    <mergeCell ref="N4:O4"/>
    <mergeCell ref="B3:F3"/>
    <mergeCell ref="E4:F4"/>
    <mergeCell ref="K4:L4"/>
    <mergeCell ref="H3:L3"/>
  </mergeCells>
  <pageMargins left="0.70866141732283472" right="0.70866141732283472" top="0.74803149606299213" bottom="0.74803149606299213" header="0.31496062992125984" footer="0.31496062992125984"/>
  <pageSetup paperSize="9" scale="72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="75" zoomScaleNormal="75" workbookViewId="0">
      <selection activeCell="A2" sqref="A2"/>
    </sheetView>
  </sheetViews>
  <sheetFormatPr defaultRowHeight="12.75"/>
  <cols>
    <col min="1" max="1" width="21" style="1" customWidth="1"/>
    <col min="2" max="2" width="12.28515625" style="20" customWidth="1"/>
    <col min="3" max="3" width="14" style="20" bestFit="1" customWidth="1"/>
    <col min="4" max="4" width="16" style="20" customWidth="1"/>
    <col min="5" max="5" width="15.85546875" style="20" customWidth="1"/>
    <col min="6" max="6" width="2" style="20" customWidth="1"/>
    <col min="7" max="8" width="12" style="20" customWidth="1"/>
    <col min="9" max="9" width="2" style="20" customWidth="1"/>
    <col min="10" max="10" width="10" style="20" customWidth="1"/>
    <col min="11" max="11" width="12.140625" style="20" customWidth="1"/>
    <col min="12" max="12" width="12.42578125" style="20" customWidth="1"/>
    <col min="13" max="13" width="17" style="20" customWidth="1"/>
    <col min="14" max="16384" width="9.140625" style="20"/>
  </cols>
  <sheetData>
    <row r="1" spans="1:14">
      <c r="A1" s="1" t="s">
        <v>185</v>
      </c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6" t="s">
        <v>75</v>
      </c>
    </row>
    <row r="4" spans="1:14" ht="12.75" customHeight="1">
      <c r="B4" s="202" t="s">
        <v>105</v>
      </c>
      <c r="C4" s="202" t="s">
        <v>104</v>
      </c>
      <c r="D4" s="149" t="s">
        <v>154</v>
      </c>
      <c r="E4" s="149"/>
      <c r="F4" s="38"/>
      <c r="G4" s="149" t="s">
        <v>147</v>
      </c>
      <c r="H4" s="149"/>
      <c r="I4" s="1"/>
      <c r="J4" s="149" t="s">
        <v>155</v>
      </c>
      <c r="K4" s="149"/>
      <c r="L4" s="149"/>
      <c r="M4" s="202" t="s">
        <v>103</v>
      </c>
    </row>
    <row r="5" spans="1:14" s="1" customFormat="1" ht="60" customHeight="1">
      <c r="A5" s="2"/>
      <c r="B5" s="203"/>
      <c r="C5" s="203"/>
      <c r="D5" s="204" t="s">
        <v>187</v>
      </c>
      <c r="E5" s="204" t="s">
        <v>102</v>
      </c>
      <c r="F5" s="104"/>
      <c r="G5" s="204" t="s">
        <v>148</v>
      </c>
      <c r="H5" s="204" t="s">
        <v>149</v>
      </c>
      <c r="I5" s="104"/>
      <c r="J5" s="205" t="s">
        <v>150</v>
      </c>
      <c r="K5" s="205" t="s">
        <v>151</v>
      </c>
      <c r="L5" s="205" t="s">
        <v>171</v>
      </c>
      <c r="M5" s="203"/>
    </row>
    <row r="6" spans="1:14">
      <c r="A6" s="52" t="s">
        <v>6</v>
      </c>
      <c r="B6" s="54">
        <v>614855</v>
      </c>
      <c r="C6" s="54">
        <v>517901</v>
      </c>
      <c r="D6" s="142" t="s">
        <v>33</v>
      </c>
      <c r="E6" s="54">
        <f>77565+19389</f>
        <v>96954</v>
      </c>
      <c r="F6" s="54"/>
      <c r="G6" s="54">
        <v>4461</v>
      </c>
      <c r="H6" s="54">
        <f>8600-G6</f>
        <v>4139</v>
      </c>
      <c r="I6" s="54"/>
      <c r="J6" s="142" t="s">
        <v>33</v>
      </c>
      <c r="K6" s="142" t="s">
        <v>33</v>
      </c>
      <c r="L6" s="54"/>
      <c r="M6" s="54">
        <v>8600</v>
      </c>
      <c r="N6" s="54"/>
    </row>
    <row r="7" spans="1:14">
      <c r="A7" s="52" t="s">
        <v>7</v>
      </c>
      <c r="B7" s="54">
        <v>580087</v>
      </c>
      <c r="C7" s="54">
        <v>553245</v>
      </c>
      <c r="D7" s="142" t="s">
        <v>33</v>
      </c>
      <c r="E7" s="142" t="s">
        <v>33</v>
      </c>
      <c r="F7" s="54"/>
      <c r="G7" s="54">
        <v>28500</v>
      </c>
      <c r="H7" s="142" t="s">
        <v>33</v>
      </c>
      <c r="I7" s="54"/>
      <c r="J7" s="142" t="s">
        <v>33</v>
      </c>
      <c r="K7" s="142" t="s">
        <v>33</v>
      </c>
      <c r="L7" s="54">
        <v>226</v>
      </c>
      <c r="M7" s="142" t="s">
        <v>33</v>
      </c>
      <c r="N7" s="54"/>
    </row>
    <row r="8" spans="1:14">
      <c r="A8" s="52" t="s">
        <v>8</v>
      </c>
      <c r="B8" s="54">
        <v>909313</v>
      </c>
      <c r="C8" s="54">
        <v>832828</v>
      </c>
      <c r="D8" s="142" t="s">
        <v>33</v>
      </c>
      <c r="E8" s="142" t="s">
        <v>33</v>
      </c>
      <c r="F8" s="54"/>
      <c r="G8" s="54">
        <v>31826</v>
      </c>
      <c r="H8" s="142" t="s">
        <v>33</v>
      </c>
      <c r="I8" s="54"/>
      <c r="J8" s="54">
        <v>44245</v>
      </c>
      <c r="K8" s="54">
        <v>414</v>
      </c>
      <c r="L8" s="54"/>
      <c r="M8" s="142" t="s">
        <v>33</v>
      </c>
      <c r="N8" s="54"/>
    </row>
    <row r="9" spans="1:14">
      <c r="A9" s="52" t="s">
        <v>9</v>
      </c>
      <c r="B9" s="54">
        <v>1049002</v>
      </c>
      <c r="C9" s="54">
        <v>1031277</v>
      </c>
      <c r="D9" s="142" t="s">
        <v>33</v>
      </c>
      <c r="E9" s="142" t="s">
        <v>33</v>
      </c>
      <c r="F9" s="54"/>
      <c r="G9" s="54">
        <v>17075</v>
      </c>
      <c r="H9" s="54">
        <f>40975-G9</f>
        <v>23900</v>
      </c>
      <c r="I9" s="54"/>
      <c r="J9" s="142" t="s">
        <v>33</v>
      </c>
      <c r="K9" s="142" t="s">
        <v>33</v>
      </c>
      <c r="L9" s="142" t="s">
        <v>33</v>
      </c>
      <c r="M9" s="54">
        <v>23250</v>
      </c>
      <c r="N9" s="54"/>
    </row>
    <row r="10" spans="1:14">
      <c r="A10" s="52" t="s">
        <v>74</v>
      </c>
      <c r="B10" s="54">
        <v>5852938</v>
      </c>
      <c r="C10" s="54">
        <v>5852938</v>
      </c>
      <c r="D10" s="142" t="s">
        <v>33</v>
      </c>
      <c r="E10" s="142" t="s">
        <v>33</v>
      </c>
      <c r="F10" s="54"/>
      <c r="G10" s="54"/>
      <c r="H10" s="142" t="s">
        <v>33</v>
      </c>
      <c r="I10" s="54"/>
      <c r="J10" s="142" t="s">
        <v>33</v>
      </c>
      <c r="K10" s="142" t="s">
        <v>33</v>
      </c>
      <c r="L10" s="142" t="s">
        <v>33</v>
      </c>
      <c r="M10" s="142" t="s">
        <v>33</v>
      </c>
      <c r="N10" s="54"/>
    </row>
    <row r="11" spans="1:14">
      <c r="A11" s="52" t="s">
        <v>11</v>
      </c>
      <c r="B11" s="54">
        <v>101165</v>
      </c>
      <c r="C11" s="54">
        <v>99912</v>
      </c>
      <c r="D11" s="142" t="s">
        <v>33</v>
      </c>
      <c r="E11" s="142" t="s">
        <v>33</v>
      </c>
      <c r="F11" s="54"/>
      <c r="G11" s="54">
        <v>1253</v>
      </c>
      <c r="H11" s="142" t="s">
        <v>33</v>
      </c>
      <c r="I11" s="54"/>
      <c r="J11" s="142" t="s">
        <v>33</v>
      </c>
      <c r="K11" s="142" t="s">
        <v>33</v>
      </c>
      <c r="L11" s="142" t="s">
        <v>33</v>
      </c>
      <c r="M11" s="142" t="s">
        <v>33</v>
      </c>
      <c r="N11" s="54"/>
    </row>
    <row r="12" spans="1:14">
      <c r="A12" s="52" t="s">
        <v>13</v>
      </c>
      <c r="B12" s="54">
        <v>2233227</v>
      </c>
      <c r="C12" s="54">
        <v>2225227</v>
      </c>
      <c r="D12" s="54">
        <f>+B12-C12</f>
        <v>8000</v>
      </c>
      <c r="E12" s="142" t="s">
        <v>33</v>
      </c>
      <c r="F12" s="54"/>
      <c r="G12" s="54">
        <v>78000</v>
      </c>
      <c r="H12" s="54">
        <f>108000-G12</f>
        <v>30000</v>
      </c>
      <c r="I12" s="54"/>
      <c r="J12" s="142" t="s">
        <v>33</v>
      </c>
      <c r="K12" s="142" t="s">
        <v>33</v>
      </c>
      <c r="L12" s="142" t="s">
        <v>33</v>
      </c>
      <c r="M12" s="54">
        <v>70000</v>
      </c>
      <c r="N12" s="54"/>
    </row>
    <row r="13" spans="1:14">
      <c r="A13" s="52" t="s">
        <v>14</v>
      </c>
      <c r="B13" s="54">
        <v>5304642</v>
      </c>
      <c r="C13" s="54">
        <v>4913824</v>
      </c>
      <c r="D13" s="142" t="s">
        <v>33</v>
      </c>
      <c r="E13" s="54">
        <f>261153+26000</f>
        <v>287153</v>
      </c>
      <c r="F13" s="54"/>
      <c r="G13" s="54">
        <v>179954</v>
      </c>
      <c r="H13" s="54">
        <f>248054-G13</f>
        <v>68100</v>
      </c>
      <c r="I13" s="54"/>
      <c r="J13" s="142" t="s">
        <v>33</v>
      </c>
      <c r="K13" s="142" t="s">
        <v>33</v>
      </c>
      <c r="L13" s="142" t="s">
        <v>33</v>
      </c>
      <c r="M13" s="54">
        <v>144390</v>
      </c>
      <c r="N13" s="54"/>
    </row>
    <row r="14" spans="1:14">
      <c r="A14" s="52" t="s">
        <v>15</v>
      </c>
      <c r="B14" s="54">
        <v>8527494</v>
      </c>
      <c r="C14" s="54">
        <v>7607272</v>
      </c>
      <c r="D14" s="142" t="s">
        <v>33</v>
      </c>
      <c r="E14" s="54">
        <v>525622</v>
      </c>
      <c r="F14" s="54"/>
      <c r="G14" s="54">
        <v>297600</v>
      </c>
      <c r="H14" s="54">
        <f>478600-G14</f>
        <v>181000</v>
      </c>
      <c r="I14" s="54"/>
      <c r="J14" s="142" t="s">
        <v>33</v>
      </c>
      <c r="K14" s="142" t="s">
        <v>33</v>
      </c>
      <c r="L14" s="142" t="s">
        <v>33</v>
      </c>
      <c r="M14" s="54">
        <v>84000</v>
      </c>
      <c r="N14" s="54"/>
    </row>
    <row r="15" spans="1:14">
      <c r="A15" s="52" t="s">
        <v>182</v>
      </c>
      <c r="B15" s="54">
        <v>94923</v>
      </c>
      <c r="C15" s="54">
        <v>86007</v>
      </c>
      <c r="D15" s="54">
        <f>1192+117</f>
        <v>1309</v>
      </c>
      <c r="E15" s="54">
        <v>2948</v>
      </c>
      <c r="F15" s="54"/>
      <c r="G15" s="54">
        <v>4660</v>
      </c>
      <c r="H15" s="142" t="s">
        <v>33</v>
      </c>
      <c r="I15" s="54"/>
      <c r="J15" s="142" t="s">
        <v>33</v>
      </c>
      <c r="K15" s="142" t="s">
        <v>33</v>
      </c>
      <c r="L15" s="142" t="s">
        <v>33</v>
      </c>
      <c r="M15" s="142" t="s">
        <v>33</v>
      </c>
      <c r="N15" s="54"/>
    </row>
    <row r="16" spans="1:14">
      <c r="A16" s="52" t="s">
        <v>12</v>
      </c>
      <c r="B16" s="54">
        <v>1340869</v>
      </c>
      <c r="C16" s="54">
        <v>1339769</v>
      </c>
      <c r="D16" s="142" t="s">
        <v>33</v>
      </c>
      <c r="E16" s="142" t="s">
        <v>33</v>
      </c>
      <c r="F16" s="54"/>
      <c r="G16" s="54">
        <v>25000</v>
      </c>
      <c r="H16" s="142" t="s">
        <v>33</v>
      </c>
      <c r="I16" s="54"/>
      <c r="J16" s="142" t="s">
        <v>33</v>
      </c>
      <c r="K16" s="142" t="s">
        <v>33</v>
      </c>
      <c r="L16" s="142" t="s">
        <v>33</v>
      </c>
      <c r="M16" s="54">
        <v>23900</v>
      </c>
      <c r="N16" s="54"/>
    </row>
    <row r="17" spans="1:14">
      <c r="A17" s="52" t="s">
        <v>16</v>
      </c>
      <c r="B17" s="54">
        <v>4379985</v>
      </c>
      <c r="C17" s="54">
        <v>4202935</v>
      </c>
      <c r="D17" s="142" t="s">
        <v>33</v>
      </c>
      <c r="E17" s="142" t="s">
        <v>33</v>
      </c>
      <c r="F17" s="54"/>
      <c r="G17" s="54">
        <v>152950</v>
      </c>
      <c r="H17" s="54">
        <f>321950-G17</f>
        <v>169000</v>
      </c>
      <c r="I17" s="54"/>
      <c r="J17" s="142" t="s">
        <v>33</v>
      </c>
      <c r="K17" s="142" t="s">
        <v>33</v>
      </c>
      <c r="L17" s="142" t="s">
        <v>33</v>
      </c>
      <c r="M17" s="54">
        <v>144900</v>
      </c>
      <c r="N17" s="54"/>
    </row>
    <row r="18" spans="1:14">
      <c r="A18" s="52" t="s">
        <v>17</v>
      </c>
      <c r="B18" s="54">
        <v>53499</v>
      </c>
      <c r="C18" s="54">
        <v>53499</v>
      </c>
      <c r="D18" s="142" t="s">
        <v>33</v>
      </c>
      <c r="E18" s="142" t="s">
        <v>33</v>
      </c>
      <c r="F18" s="54"/>
      <c r="G18" s="142" t="s">
        <v>33</v>
      </c>
      <c r="H18" s="142" t="s">
        <v>33</v>
      </c>
      <c r="I18" s="54"/>
      <c r="J18" s="142" t="s">
        <v>33</v>
      </c>
      <c r="K18" s="142" t="s">
        <v>33</v>
      </c>
      <c r="L18" s="142" t="s">
        <v>33</v>
      </c>
      <c r="M18" s="142" t="s">
        <v>33</v>
      </c>
      <c r="N18" s="54"/>
    </row>
    <row r="19" spans="1:14">
      <c r="A19" s="52" t="s">
        <v>18</v>
      </c>
      <c r="B19" s="54">
        <v>146479</v>
      </c>
      <c r="C19" s="54">
        <v>138041</v>
      </c>
      <c r="D19" s="142" t="s">
        <v>33</v>
      </c>
      <c r="E19" s="142" t="s">
        <v>33</v>
      </c>
      <c r="F19" s="54"/>
      <c r="G19" s="54">
        <v>5130</v>
      </c>
      <c r="H19" s="142" t="s">
        <v>33</v>
      </c>
      <c r="I19" s="54"/>
      <c r="J19" s="54">
        <v>3308</v>
      </c>
      <c r="K19" s="142" t="s">
        <v>33</v>
      </c>
      <c r="L19" s="142" t="s">
        <v>33</v>
      </c>
      <c r="M19" s="142" t="s">
        <v>33</v>
      </c>
      <c r="N19" s="54"/>
    </row>
    <row r="20" spans="1:14">
      <c r="A20" s="52" t="s">
        <v>19</v>
      </c>
      <c r="B20" s="54">
        <v>380109</v>
      </c>
      <c r="C20" s="54">
        <v>356545</v>
      </c>
      <c r="D20" s="142" t="s">
        <v>33</v>
      </c>
      <c r="E20" s="142" t="s">
        <v>33</v>
      </c>
      <c r="F20" s="54"/>
      <c r="G20" s="54">
        <v>13304</v>
      </c>
      <c r="H20" s="142" t="s">
        <v>33</v>
      </c>
      <c r="I20" s="54"/>
      <c r="J20" s="54">
        <v>10260</v>
      </c>
      <c r="K20" s="142" t="s">
        <v>33</v>
      </c>
      <c r="L20" s="142" t="s">
        <v>33</v>
      </c>
      <c r="M20" s="142" t="s">
        <v>33</v>
      </c>
      <c r="N20" s="54"/>
    </row>
    <row r="21" spans="1:14">
      <c r="A21" s="52" t="s">
        <v>20</v>
      </c>
      <c r="B21" s="54">
        <v>37672</v>
      </c>
      <c r="C21" s="54">
        <v>37672</v>
      </c>
      <c r="D21" s="142" t="s">
        <v>33</v>
      </c>
      <c r="E21" s="142" t="s">
        <v>33</v>
      </c>
      <c r="F21" s="54"/>
      <c r="G21" s="142" t="s">
        <v>33</v>
      </c>
      <c r="H21" s="142" t="s">
        <v>33</v>
      </c>
      <c r="I21" s="54"/>
      <c r="J21" s="142" t="s">
        <v>33</v>
      </c>
      <c r="K21" s="142" t="s">
        <v>33</v>
      </c>
      <c r="L21" s="142" t="s">
        <v>33</v>
      </c>
      <c r="M21" s="142" t="s">
        <v>33</v>
      </c>
      <c r="N21" s="54"/>
    </row>
    <row r="22" spans="1:14">
      <c r="A22" s="52" t="s">
        <v>21</v>
      </c>
      <c r="B22" s="54">
        <v>1318975</v>
      </c>
      <c r="C22" s="54">
        <v>1140921</v>
      </c>
      <c r="D22" s="142" t="s">
        <v>33</v>
      </c>
      <c r="E22" s="142" t="s">
        <v>33</v>
      </c>
      <c r="F22" s="54"/>
      <c r="G22" s="54">
        <v>46164</v>
      </c>
      <c r="H22" s="54">
        <f>131898-G22</f>
        <v>85734</v>
      </c>
      <c r="I22" s="54"/>
      <c r="J22" s="54">
        <v>41010</v>
      </c>
      <c r="K22" s="54">
        <v>4756</v>
      </c>
      <c r="L22" s="54">
        <v>391</v>
      </c>
      <c r="M22" s="142" t="s">
        <v>33</v>
      </c>
      <c r="N22" s="54"/>
    </row>
    <row r="23" spans="1:14">
      <c r="A23" s="52" t="s">
        <v>22</v>
      </c>
      <c r="B23" s="54">
        <v>5504</v>
      </c>
      <c r="C23" s="54">
        <v>5504</v>
      </c>
      <c r="D23" s="142" t="s">
        <v>33</v>
      </c>
      <c r="E23" s="142" t="s">
        <v>33</v>
      </c>
      <c r="F23" s="54"/>
      <c r="G23" s="142" t="s">
        <v>33</v>
      </c>
      <c r="H23" s="54"/>
      <c r="I23" s="54"/>
      <c r="J23" s="142" t="s">
        <v>33</v>
      </c>
      <c r="K23" s="142" t="s">
        <v>33</v>
      </c>
      <c r="L23" s="142" t="s">
        <v>33</v>
      </c>
      <c r="M23" s="142" t="s">
        <v>33</v>
      </c>
      <c r="N23" s="54"/>
    </row>
    <row r="24" spans="1:14">
      <c r="A24" s="52" t="s">
        <v>23</v>
      </c>
      <c r="B24" s="54">
        <v>897751</v>
      </c>
      <c r="C24" s="54">
        <v>890551</v>
      </c>
      <c r="D24" s="142" t="s">
        <v>33</v>
      </c>
      <c r="E24" s="142" t="s">
        <v>33</v>
      </c>
      <c r="F24" s="54"/>
      <c r="G24" s="54">
        <v>31420</v>
      </c>
      <c r="H24" s="54">
        <f>38900-G24</f>
        <v>7480</v>
      </c>
      <c r="I24" s="54"/>
      <c r="J24" s="142" t="s">
        <v>33</v>
      </c>
      <c r="K24" s="142" t="s">
        <v>33</v>
      </c>
      <c r="L24" s="142" t="s">
        <v>33</v>
      </c>
      <c r="M24" s="54">
        <v>31700</v>
      </c>
      <c r="N24" s="54"/>
    </row>
    <row r="25" spans="1:14">
      <c r="A25" s="52" t="s">
        <v>24</v>
      </c>
      <c r="B25" s="54">
        <v>751788</v>
      </c>
      <c r="C25" s="54">
        <v>679111</v>
      </c>
      <c r="D25" s="142" t="s">
        <v>33</v>
      </c>
      <c r="E25" s="54">
        <f>70578+99</f>
        <v>70677</v>
      </c>
      <c r="F25" s="54"/>
      <c r="G25" s="54">
        <v>13900</v>
      </c>
      <c r="H25" s="142" t="s">
        <v>33</v>
      </c>
      <c r="I25" s="54"/>
      <c r="J25" s="142" t="s">
        <v>33</v>
      </c>
      <c r="K25" s="142" t="s">
        <v>33</v>
      </c>
      <c r="L25" s="142" t="s">
        <v>33</v>
      </c>
      <c r="M25" s="54">
        <v>11900</v>
      </c>
      <c r="N25" s="54"/>
    </row>
    <row r="26" spans="1:14">
      <c r="A26" s="52" t="s">
        <v>25</v>
      </c>
      <c r="B26" s="54">
        <v>3044518</v>
      </c>
      <c r="C26" s="54">
        <v>2760813</v>
      </c>
      <c r="D26" s="142" t="s">
        <v>33</v>
      </c>
      <c r="E26" s="142" t="s">
        <v>33</v>
      </c>
      <c r="F26" s="54"/>
      <c r="G26" s="54">
        <v>106558</v>
      </c>
      <c r="H26" s="142" t="s">
        <v>33</v>
      </c>
      <c r="I26" s="54"/>
      <c r="J26" s="54">
        <v>159392</v>
      </c>
      <c r="K26" s="54">
        <v>6715</v>
      </c>
      <c r="L26" s="54">
        <v>11040</v>
      </c>
      <c r="M26" s="142" t="s">
        <v>33</v>
      </c>
      <c r="N26" s="54"/>
    </row>
    <row r="27" spans="1:14">
      <c r="A27" s="52" t="s">
        <v>26</v>
      </c>
      <c r="B27" s="54">
        <v>606551</v>
      </c>
      <c r="C27" s="54">
        <v>476907</v>
      </c>
      <c r="D27" s="54">
        <f>21892+7184</f>
        <v>29076</v>
      </c>
      <c r="E27" s="54">
        <f>78695+9462</f>
        <v>88157</v>
      </c>
      <c r="F27" s="54"/>
      <c r="G27" s="54">
        <v>21210</v>
      </c>
      <c r="H27" s="54">
        <f>34111-G27</f>
        <v>12901</v>
      </c>
      <c r="I27" s="54"/>
      <c r="J27" s="142" t="s">
        <v>33</v>
      </c>
      <c r="K27" s="142" t="s">
        <v>33</v>
      </c>
      <c r="L27" s="142" t="s">
        <v>33</v>
      </c>
      <c r="M27" s="54">
        <v>21700</v>
      </c>
      <c r="N27" s="54"/>
    </row>
    <row r="28" spans="1:14">
      <c r="A28" s="52" t="s">
        <v>27</v>
      </c>
      <c r="B28" s="54">
        <v>1264472</v>
      </c>
      <c r="C28" s="54">
        <v>1213143</v>
      </c>
      <c r="D28" s="142" t="s">
        <v>33</v>
      </c>
      <c r="E28" s="142" t="s">
        <v>33</v>
      </c>
      <c r="F28" s="54"/>
      <c r="G28" s="54">
        <v>44257</v>
      </c>
      <c r="H28" s="142" t="s">
        <v>33</v>
      </c>
      <c r="I28" s="54"/>
      <c r="J28" s="54">
        <v>7072</v>
      </c>
      <c r="K28" s="142" t="s">
        <v>33</v>
      </c>
      <c r="L28" s="142" t="s">
        <v>33</v>
      </c>
      <c r="M28" s="142" t="s">
        <v>33</v>
      </c>
      <c r="N28" s="54"/>
    </row>
    <row r="29" spans="1:14">
      <c r="A29" s="52" t="s">
        <v>28</v>
      </c>
      <c r="B29" s="54">
        <v>144274</v>
      </c>
      <c r="C29" s="54">
        <v>141450</v>
      </c>
      <c r="D29" s="142" t="s">
        <v>33</v>
      </c>
      <c r="E29" s="142" t="s">
        <v>33</v>
      </c>
      <c r="F29" s="54"/>
      <c r="G29" s="54">
        <v>8624</v>
      </c>
      <c r="H29" s="54">
        <f>14424-G29</f>
        <v>5800</v>
      </c>
      <c r="I29" s="54"/>
      <c r="J29" s="142" t="s">
        <v>33</v>
      </c>
      <c r="K29" s="142" t="s">
        <v>33</v>
      </c>
      <c r="L29" s="142" t="s">
        <v>33</v>
      </c>
      <c r="M29" s="54">
        <v>5800</v>
      </c>
      <c r="N29" s="54"/>
    </row>
    <row r="30" spans="1:14">
      <c r="A30" s="52" t="s">
        <v>29</v>
      </c>
      <c r="B30" s="54">
        <v>388176</v>
      </c>
      <c r="C30" s="54">
        <v>354697</v>
      </c>
      <c r="D30" s="142" t="s">
        <v>33</v>
      </c>
      <c r="E30" s="142" t="s">
        <v>33</v>
      </c>
      <c r="F30" s="54"/>
      <c r="G30" s="54">
        <v>13500</v>
      </c>
      <c r="H30" s="142" t="s">
        <v>33</v>
      </c>
      <c r="I30" s="54"/>
      <c r="J30" s="54">
        <v>19289</v>
      </c>
      <c r="K30" s="54">
        <v>690</v>
      </c>
      <c r="L30" s="142" t="s">
        <v>33</v>
      </c>
      <c r="M30" s="142" t="s">
        <v>33</v>
      </c>
      <c r="N30" s="54"/>
    </row>
    <row r="31" spans="1:14">
      <c r="A31" s="52" t="s">
        <v>30</v>
      </c>
      <c r="B31" s="54">
        <v>570548</v>
      </c>
      <c r="C31" s="54">
        <v>518883</v>
      </c>
      <c r="D31" s="54">
        <f>600+200</f>
        <v>800</v>
      </c>
      <c r="E31" s="142" t="s">
        <v>33</v>
      </c>
      <c r="F31" s="54"/>
      <c r="G31" s="54">
        <v>57055</v>
      </c>
      <c r="H31" s="142" t="s">
        <v>33</v>
      </c>
      <c r="I31" s="54"/>
      <c r="J31" s="142" t="s">
        <v>33</v>
      </c>
      <c r="K31" s="142" t="s">
        <v>33</v>
      </c>
      <c r="L31" s="142" t="s">
        <v>33</v>
      </c>
      <c r="M31" s="54">
        <v>6190</v>
      </c>
      <c r="N31" s="54"/>
    </row>
    <row r="32" spans="1:14">
      <c r="A32" s="52" t="s">
        <v>31</v>
      </c>
      <c r="B32" s="54">
        <v>770906</v>
      </c>
      <c r="C32" s="77">
        <v>767437</v>
      </c>
      <c r="D32" s="143" t="s">
        <v>33</v>
      </c>
      <c r="E32" s="143" t="s">
        <v>33</v>
      </c>
      <c r="F32" s="77"/>
      <c r="G32" s="77">
        <v>3469</v>
      </c>
      <c r="H32" s="143" t="s">
        <v>33</v>
      </c>
      <c r="I32" s="77"/>
      <c r="J32" s="143" t="s">
        <v>33</v>
      </c>
      <c r="K32" s="143" t="s">
        <v>33</v>
      </c>
      <c r="L32" s="143" t="s">
        <v>33</v>
      </c>
      <c r="M32" s="143" t="s">
        <v>33</v>
      </c>
      <c r="N32" s="54"/>
    </row>
    <row r="33" spans="1:14">
      <c r="A33" s="53" t="s">
        <v>32</v>
      </c>
      <c r="B33" s="45">
        <v>3988042</v>
      </c>
      <c r="C33" s="45">
        <v>3958242</v>
      </c>
      <c r="D33" s="144" t="s">
        <v>33</v>
      </c>
      <c r="E33" s="144" t="s">
        <v>33</v>
      </c>
      <c r="F33" s="45"/>
      <c r="G33" s="45">
        <v>29800</v>
      </c>
      <c r="H33" s="144" t="s">
        <v>33</v>
      </c>
      <c r="I33" s="45"/>
      <c r="J33" s="144" t="s">
        <v>33</v>
      </c>
      <c r="K33" s="144" t="s">
        <v>33</v>
      </c>
      <c r="L33" s="144" t="s">
        <v>33</v>
      </c>
      <c r="M33" s="144" t="s">
        <v>33</v>
      </c>
      <c r="N33" s="54"/>
    </row>
    <row r="34" spans="1:14">
      <c r="A34" s="52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4">
      <c r="A35" s="1" t="s">
        <v>230</v>
      </c>
    </row>
    <row r="36" spans="1:14">
      <c r="A36" s="8" t="s">
        <v>186</v>
      </c>
    </row>
    <row r="38" spans="1:14">
      <c r="B38" s="54"/>
      <c r="C38" s="54"/>
      <c r="D38" s="54"/>
      <c r="E38" s="54"/>
    </row>
    <row r="39" spans="1:14">
      <c r="B39" s="54"/>
      <c r="C39" s="54"/>
      <c r="D39" s="54"/>
    </row>
    <row r="40" spans="1:14">
      <c r="B40" s="54"/>
      <c r="C40" s="54"/>
      <c r="D40" s="54"/>
    </row>
    <row r="41" spans="1:14">
      <c r="B41" s="54"/>
      <c r="C41" s="54"/>
      <c r="D41" s="54"/>
    </row>
    <row r="42" spans="1:14">
      <c r="B42" s="54"/>
    </row>
    <row r="43" spans="1:14">
      <c r="B43" s="54"/>
    </row>
    <row r="44" spans="1:14">
      <c r="B44" s="54"/>
    </row>
    <row r="45" spans="1:14">
      <c r="B45" s="54"/>
    </row>
  </sheetData>
  <mergeCells count="6">
    <mergeCell ref="M4:M5"/>
    <mergeCell ref="G4:H4"/>
    <mergeCell ref="B4:B5"/>
    <mergeCell ref="C4:C5"/>
    <mergeCell ref="D4:E4"/>
    <mergeCell ref="J4:L4"/>
  </mergeCells>
  <pageMargins left="0.75" right="0.75" top="1" bottom="1" header="0.5" footer="0.5"/>
  <pageSetup paperSize="9" scale="7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="75" zoomScaleNormal="75" workbookViewId="0">
      <selection activeCell="A2" sqref="A2"/>
    </sheetView>
  </sheetViews>
  <sheetFormatPr defaultRowHeight="12.75"/>
  <cols>
    <col min="1" max="1" width="26.140625" style="20" customWidth="1"/>
    <col min="2" max="2" width="13" style="20" customWidth="1"/>
    <col min="3" max="3" width="16.5703125" style="20" customWidth="1"/>
    <col min="4" max="4" width="19" style="20" customWidth="1"/>
    <col min="5" max="5" width="17.28515625" style="20" customWidth="1"/>
    <col min="6" max="6" width="19.42578125" style="20" customWidth="1"/>
    <col min="7" max="7" width="9.5703125" style="20" bestFit="1" customWidth="1"/>
    <col min="8" max="16384" width="9.140625" style="20"/>
  </cols>
  <sheetData>
    <row r="1" spans="1:6">
      <c r="A1" s="1" t="s">
        <v>224</v>
      </c>
    </row>
    <row r="3" spans="1:6" ht="38.25">
      <c r="A3" s="51" t="s">
        <v>76</v>
      </c>
      <c r="B3" s="51" t="s">
        <v>109</v>
      </c>
      <c r="C3" s="51" t="s">
        <v>110</v>
      </c>
      <c r="D3" s="51" t="s">
        <v>142</v>
      </c>
      <c r="E3" s="51" t="s">
        <v>111</v>
      </c>
      <c r="F3" s="51" t="s">
        <v>156</v>
      </c>
    </row>
    <row r="4" spans="1:6">
      <c r="A4" s="184"/>
      <c r="B4" s="100"/>
      <c r="C4" s="100"/>
      <c r="D4" s="96"/>
      <c r="E4" s="96"/>
      <c r="F4" s="100"/>
    </row>
    <row r="5" spans="1:6">
      <c r="A5" s="184" t="s">
        <v>49</v>
      </c>
      <c r="B5" s="97"/>
      <c r="C5" s="97"/>
      <c r="D5" s="96"/>
      <c r="E5" s="96"/>
      <c r="F5" s="97"/>
    </row>
    <row r="6" spans="1:6">
      <c r="A6" s="185" t="s">
        <v>138</v>
      </c>
      <c r="B6" s="186">
        <v>24000000</v>
      </c>
      <c r="C6" s="96" t="s">
        <v>112</v>
      </c>
      <c r="D6" s="96" t="s">
        <v>189</v>
      </c>
      <c r="E6" s="96" t="s">
        <v>190</v>
      </c>
      <c r="F6" s="103">
        <v>-0.16</v>
      </c>
    </row>
    <row r="7" spans="1:6">
      <c r="A7" s="187" t="s">
        <v>137</v>
      </c>
      <c r="B7" s="186"/>
      <c r="C7" s="96" t="s">
        <v>113</v>
      </c>
      <c r="D7" s="96" t="s">
        <v>191</v>
      </c>
      <c r="E7" s="96" t="s">
        <v>192</v>
      </c>
      <c r="F7" s="103">
        <v>-0.16</v>
      </c>
    </row>
    <row r="8" spans="1:6">
      <c r="A8" s="187" t="s">
        <v>136</v>
      </c>
      <c r="B8" s="186"/>
      <c r="C8" s="96" t="s">
        <v>114</v>
      </c>
      <c r="D8" s="96" t="s">
        <v>193</v>
      </c>
      <c r="E8" s="96" t="s">
        <v>194</v>
      </c>
      <c r="F8" s="103">
        <v>-0.16</v>
      </c>
    </row>
    <row r="9" spans="1:6" ht="11.25" customHeight="1">
      <c r="A9" s="187"/>
      <c r="B9" s="188"/>
      <c r="C9" s="96"/>
      <c r="D9" s="96"/>
      <c r="E9" s="96"/>
      <c r="F9" s="99"/>
    </row>
    <row r="10" spans="1:6">
      <c r="A10" s="187" t="s">
        <v>135</v>
      </c>
      <c r="B10" s="186">
        <v>27250000</v>
      </c>
      <c r="C10" s="96" t="s">
        <v>122</v>
      </c>
      <c r="D10" s="96" t="s">
        <v>195</v>
      </c>
      <c r="E10" s="96" t="s">
        <v>196</v>
      </c>
      <c r="F10" s="103">
        <v>-0.16</v>
      </c>
    </row>
    <row r="11" spans="1:6">
      <c r="A11" s="187" t="s">
        <v>242</v>
      </c>
      <c r="B11" s="186"/>
      <c r="C11" s="96" t="s">
        <v>123</v>
      </c>
      <c r="D11" s="96" t="s">
        <v>197</v>
      </c>
      <c r="E11" s="96" t="s">
        <v>198</v>
      </c>
      <c r="F11" s="103">
        <v>-0.16</v>
      </c>
    </row>
    <row r="12" spans="1:6" s="1" customFormat="1">
      <c r="A12" s="184"/>
      <c r="B12" s="96"/>
      <c r="C12" s="97"/>
      <c r="D12" s="96"/>
      <c r="E12" s="96"/>
      <c r="F12" s="101"/>
    </row>
    <row r="13" spans="1:6">
      <c r="A13" s="184" t="s">
        <v>143</v>
      </c>
      <c r="B13" s="95"/>
      <c r="C13" s="97"/>
      <c r="D13" s="96"/>
      <c r="E13" s="96"/>
      <c r="F13" s="101"/>
    </row>
    <row r="14" spans="1:6">
      <c r="A14" s="184" t="s">
        <v>115</v>
      </c>
      <c r="B14" s="186">
        <v>10000000</v>
      </c>
      <c r="C14" s="96" t="s">
        <v>124</v>
      </c>
      <c r="D14" s="96" t="s">
        <v>199</v>
      </c>
      <c r="E14" s="96" t="s">
        <v>200</v>
      </c>
      <c r="F14" s="99">
        <v>-0.4</v>
      </c>
    </row>
    <row r="15" spans="1:6">
      <c r="A15" s="184" t="s">
        <v>116</v>
      </c>
      <c r="B15" s="186"/>
      <c r="C15" s="96" t="s">
        <v>125</v>
      </c>
      <c r="D15" s="96" t="s">
        <v>201</v>
      </c>
      <c r="E15" s="96" t="s">
        <v>202</v>
      </c>
      <c r="F15" s="99">
        <v>-0.4</v>
      </c>
    </row>
    <row r="16" spans="1:6">
      <c r="A16" s="184" t="s">
        <v>117</v>
      </c>
      <c r="B16" s="186"/>
      <c r="C16" s="96" t="s">
        <v>126</v>
      </c>
      <c r="D16" s="96" t="s">
        <v>203</v>
      </c>
      <c r="E16" s="96" t="s">
        <v>204</v>
      </c>
      <c r="F16" s="99">
        <v>-0.4</v>
      </c>
    </row>
    <row r="17" spans="1:6">
      <c r="A17" s="184" t="s">
        <v>118</v>
      </c>
      <c r="B17" s="186"/>
      <c r="C17" s="96" t="s">
        <v>127</v>
      </c>
      <c r="D17" s="96" t="s">
        <v>205</v>
      </c>
      <c r="E17" s="96" t="s">
        <v>206</v>
      </c>
      <c r="F17" s="99">
        <v>-0.4</v>
      </c>
    </row>
    <row r="18" spans="1:6">
      <c r="A18" s="184"/>
      <c r="B18" s="96"/>
      <c r="C18" s="96"/>
      <c r="D18" s="96"/>
      <c r="E18" s="96"/>
      <c r="F18" s="101"/>
    </row>
    <row r="19" spans="1:6">
      <c r="A19" s="184" t="s">
        <v>106</v>
      </c>
      <c r="B19" s="95">
        <v>9000000</v>
      </c>
      <c r="C19" s="96" t="s">
        <v>128</v>
      </c>
      <c r="D19" s="96" t="s">
        <v>207</v>
      </c>
      <c r="E19" s="96" t="s">
        <v>208</v>
      </c>
      <c r="F19" s="101">
        <v>-0.71</v>
      </c>
    </row>
    <row r="20" spans="1:6">
      <c r="A20" s="184"/>
      <c r="B20" s="96"/>
      <c r="C20" s="96"/>
      <c r="D20" s="96"/>
      <c r="E20" s="96"/>
      <c r="F20" s="101"/>
    </row>
    <row r="21" spans="1:6">
      <c r="A21" s="184" t="s">
        <v>107</v>
      </c>
      <c r="B21" s="95">
        <v>40000000</v>
      </c>
      <c r="C21" s="96" t="s">
        <v>129</v>
      </c>
      <c r="D21" s="96" t="s">
        <v>209</v>
      </c>
      <c r="E21" s="96" t="s">
        <v>210</v>
      </c>
      <c r="F21" s="101">
        <v>-0.66400000000000003</v>
      </c>
    </row>
    <row r="22" spans="1:6">
      <c r="A22" s="184"/>
      <c r="B22" s="95"/>
      <c r="C22" s="96"/>
      <c r="D22" s="96"/>
      <c r="E22" s="96"/>
      <c r="F22" s="101"/>
    </row>
    <row r="23" spans="1:6">
      <c r="A23" s="184" t="s">
        <v>108</v>
      </c>
      <c r="B23" s="96"/>
      <c r="C23" s="96"/>
      <c r="D23" s="96"/>
      <c r="E23" s="96"/>
      <c r="F23" s="101"/>
    </row>
    <row r="24" spans="1:6" ht="15" customHeight="1">
      <c r="A24" s="184" t="s">
        <v>119</v>
      </c>
      <c r="B24" s="95">
        <v>20500000</v>
      </c>
      <c r="C24" s="96" t="s">
        <v>130</v>
      </c>
      <c r="D24" s="96" t="s">
        <v>211</v>
      </c>
      <c r="E24" s="96" t="s">
        <v>212</v>
      </c>
      <c r="F24" s="101">
        <v>-0.78</v>
      </c>
    </row>
    <row r="25" spans="1:6">
      <c r="A25" s="184" t="s">
        <v>120</v>
      </c>
      <c r="B25" s="186">
        <v>1000000</v>
      </c>
      <c r="C25" s="96" t="s">
        <v>131</v>
      </c>
      <c r="D25" s="96" t="s">
        <v>213</v>
      </c>
      <c r="E25" s="96" t="s">
        <v>214</v>
      </c>
      <c r="F25" s="101">
        <v>-0.68</v>
      </c>
    </row>
    <row r="26" spans="1:6">
      <c r="A26" s="184" t="s">
        <v>121</v>
      </c>
      <c r="B26" s="186"/>
      <c r="C26" s="96" t="s">
        <v>132</v>
      </c>
      <c r="D26" s="96" t="s">
        <v>215</v>
      </c>
      <c r="E26" s="96" t="s">
        <v>216</v>
      </c>
      <c r="F26" s="101">
        <v>-0.68</v>
      </c>
    </row>
    <row r="27" spans="1:6">
      <c r="A27" s="184"/>
      <c r="C27" s="96"/>
      <c r="D27" s="96"/>
      <c r="E27" s="96"/>
      <c r="F27" s="101"/>
    </row>
    <row r="28" spans="1:6">
      <c r="A28" s="184" t="s">
        <v>1</v>
      </c>
      <c r="B28" s="95">
        <v>19700000</v>
      </c>
      <c r="C28" s="96" t="s">
        <v>172</v>
      </c>
      <c r="D28" s="96" t="s">
        <v>223</v>
      </c>
      <c r="E28" s="96" t="s">
        <v>172</v>
      </c>
      <c r="F28" s="102" t="s">
        <v>33</v>
      </c>
    </row>
    <row r="29" spans="1:6">
      <c r="A29" s="184"/>
      <c r="B29" s="96"/>
      <c r="C29" s="96"/>
      <c r="D29" s="96"/>
      <c r="E29" s="96"/>
      <c r="F29" s="101"/>
    </row>
    <row r="30" spans="1:6">
      <c r="A30" s="184" t="s">
        <v>217</v>
      </c>
      <c r="B30" s="95">
        <v>1500000</v>
      </c>
      <c r="C30" s="96" t="s">
        <v>133</v>
      </c>
      <c r="D30" s="96" t="s">
        <v>218</v>
      </c>
      <c r="E30" s="96" t="s">
        <v>219</v>
      </c>
      <c r="F30" s="101">
        <v>-0.54</v>
      </c>
    </row>
    <row r="31" spans="1:6">
      <c r="A31" s="184"/>
      <c r="B31" s="95"/>
      <c r="C31" s="96"/>
      <c r="D31" s="96"/>
      <c r="E31" s="96"/>
      <c r="F31" s="101"/>
    </row>
    <row r="32" spans="1:6" ht="15" customHeight="1">
      <c r="A32" s="184" t="s">
        <v>144</v>
      </c>
      <c r="B32" s="95">
        <v>99000000</v>
      </c>
      <c r="C32" s="96" t="s">
        <v>134</v>
      </c>
      <c r="D32" s="96" t="s">
        <v>220</v>
      </c>
      <c r="E32" s="96" t="s">
        <v>221</v>
      </c>
      <c r="F32" s="101">
        <v>-0.05</v>
      </c>
    </row>
    <row r="33" spans="1:6">
      <c r="A33" s="184"/>
      <c r="B33" s="96"/>
      <c r="C33" s="96"/>
      <c r="D33" s="96"/>
      <c r="E33" s="96"/>
      <c r="F33" s="100"/>
    </row>
    <row r="34" spans="1:6" ht="25.5">
      <c r="A34" s="207" t="s">
        <v>139</v>
      </c>
      <c r="B34" s="189">
        <v>70000000</v>
      </c>
      <c r="C34" s="190" t="s">
        <v>140</v>
      </c>
      <c r="D34" s="190" t="s">
        <v>222</v>
      </c>
      <c r="E34" s="191">
        <v>0.56000000000000005</v>
      </c>
      <c r="F34" s="98" t="s">
        <v>33</v>
      </c>
    </row>
    <row r="35" spans="1:6">
      <c r="B35" s="52"/>
      <c r="C35" s="52"/>
      <c r="D35" s="52"/>
      <c r="E35" s="52"/>
      <c r="F35" s="52"/>
    </row>
    <row r="36" spans="1:6">
      <c r="A36" s="20" t="s">
        <v>225</v>
      </c>
      <c r="D36" s="192"/>
    </row>
    <row r="37" spans="1:6">
      <c r="C37" s="54"/>
    </row>
  </sheetData>
  <mergeCells count="4">
    <mergeCell ref="B14:B17"/>
    <mergeCell ref="B10:B11"/>
    <mergeCell ref="B6:B8"/>
    <mergeCell ref="B25:B2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5"/>
  <sheetViews>
    <sheetView zoomScale="75" zoomScaleNormal="75" workbookViewId="0">
      <selection activeCell="A2" sqref="A2"/>
    </sheetView>
  </sheetViews>
  <sheetFormatPr defaultRowHeight="12.75"/>
  <cols>
    <col min="1" max="1" width="17" style="119" customWidth="1"/>
    <col min="2" max="2" width="9.140625" style="119"/>
    <col min="3" max="3" width="3.7109375" style="119" customWidth="1"/>
    <col min="4" max="4" width="9.140625" style="119"/>
    <col min="5" max="5" width="3.7109375" style="119" customWidth="1"/>
    <col min="6" max="6" width="9.140625" style="119"/>
    <col min="7" max="7" width="3.7109375" style="119" customWidth="1"/>
    <col min="8" max="8" width="9.140625" style="119" customWidth="1"/>
    <col min="9" max="9" width="3.7109375" style="119" customWidth="1"/>
    <col min="10" max="10" width="9.140625" style="119" customWidth="1"/>
    <col min="11" max="11" width="25.85546875" style="119" customWidth="1"/>
    <col min="12" max="16384" width="9.140625" style="119"/>
  </cols>
  <sheetData>
    <row r="1" spans="1:11">
      <c r="A1" s="49" t="s">
        <v>167</v>
      </c>
    </row>
    <row r="3" spans="1:11" ht="16.5" customHeight="1">
      <c r="A3" s="168"/>
      <c r="B3" s="63">
        <v>2012</v>
      </c>
      <c r="C3" s="63"/>
      <c r="D3" s="63">
        <v>2013</v>
      </c>
      <c r="E3" s="176"/>
      <c r="F3" s="63">
        <v>2012</v>
      </c>
      <c r="G3" s="63"/>
      <c r="H3" s="63">
        <v>2013</v>
      </c>
      <c r="I3" s="176"/>
      <c r="J3" s="64"/>
    </row>
    <row r="4" spans="1:11" ht="14.25" customHeight="1">
      <c r="A4" s="170"/>
      <c r="B4" s="150" t="s">
        <v>36</v>
      </c>
      <c r="C4" s="150"/>
      <c r="D4" s="150"/>
      <c r="E4" s="171"/>
      <c r="F4" s="150" t="s">
        <v>37</v>
      </c>
      <c r="G4" s="150"/>
      <c r="H4" s="150"/>
      <c r="I4" s="171"/>
      <c r="J4" s="50" t="s">
        <v>152</v>
      </c>
    </row>
    <row r="5" spans="1:11">
      <c r="C5" s="65"/>
      <c r="D5" s="65"/>
      <c r="G5" s="65"/>
      <c r="H5" s="65"/>
      <c r="J5" s="65"/>
    </row>
    <row r="6" spans="1:11">
      <c r="A6" s="136" t="s">
        <v>245</v>
      </c>
      <c r="B6" s="79">
        <v>929.67957428000011</v>
      </c>
      <c r="C6" s="66"/>
      <c r="D6" s="79">
        <f>'[1]Tabella riassuntiva'!R30</f>
        <v>850.95014420999996</v>
      </c>
      <c r="E6" s="130"/>
      <c r="F6" s="138">
        <f>B6/$B$16*100</f>
        <v>20.663469944924685</v>
      </c>
      <c r="G6" s="138"/>
      <c r="H6" s="138">
        <f>D6/$D$16*100</f>
        <v>18.378785485885611</v>
      </c>
      <c r="J6" s="138">
        <f>(D6-B6)/B6*100</f>
        <v>-8.4684478661341966</v>
      </c>
    </row>
    <row r="7" spans="1:11">
      <c r="A7" s="136" t="s">
        <v>246</v>
      </c>
      <c r="B7" s="79">
        <v>1277.5059211600003</v>
      </c>
      <c r="C7" s="66"/>
      <c r="D7" s="79">
        <f>'[1]Tabella riassuntiva'!R31</f>
        <v>1068.1333143900001</v>
      </c>
      <c r="E7" s="130"/>
      <c r="F7" s="138">
        <f>B7/$B$16*100</f>
        <v>28.394412372453125</v>
      </c>
      <c r="G7" s="138"/>
      <c r="H7" s="138">
        <f>D7/$D$16*100</f>
        <v>23.069498476584346</v>
      </c>
      <c r="J7" s="138">
        <f>(D7-B7)/B7*100</f>
        <v>-16.389169185210957</v>
      </c>
    </row>
    <row r="8" spans="1:11">
      <c r="A8" s="136" t="s">
        <v>99</v>
      </c>
      <c r="B8" s="79">
        <v>611.01657931</v>
      </c>
      <c r="C8" s="66"/>
      <c r="D8" s="79">
        <f>'[1]Tabella riassuntiva'!R32</f>
        <v>604.83287356999995</v>
      </c>
      <c r="E8" s="130"/>
      <c r="F8" s="138">
        <f>B8/$B$16*100</f>
        <v>13.5807250925148</v>
      </c>
      <c r="G8" s="138"/>
      <c r="H8" s="138">
        <f>D8/$D$16*100</f>
        <v>13.063155008305092</v>
      </c>
      <c r="J8" s="138">
        <f>(D8-B8)/B8*100</f>
        <v>-1.0120356712714893</v>
      </c>
    </row>
    <row r="9" spans="1:11">
      <c r="A9" s="136" t="s">
        <v>247</v>
      </c>
      <c r="B9" s="79">
        <v>1460.94340642</v>
      </c>
      <c r="C9" s="79"/>
      <c r="D9" s="79">
        <v>1880.1510075000001</v>
      </c>
      <c r="E9" s="130"/>
      <c r="F9" s="138">
        <f>B9/$B$16*100</f>
        <v>32.471575158758419</v>
      </c>
      <c r="G9" s="138"/>
      <c r="H9" s="138">
        <f>D9/$D$16*100</f>
        <v>40.607422518265238</v>
      </c>
      <c r="J9" s="138">
        <f>(D9-B9)/B9*100</f>
        <v>28.694308023009345</v>
      </c>
      <c r="K9" s="177"/>
    </row>
    <row r="10" spans="1:11">
      <c r="A10" s="136"/>
      <c r="B10" s="79"/>
      <c r="C10" s="66"/>
      <c r="D10" s="66"/>
      <c r="E10" s="130"/>
      <c r="F10" s="138"/>
      <c r="G10" s="138"/>
      <c r="H10" s="138"/>
      <c r="J10" s="138"/>
    </row>
    <row r="11" spans="1:11" ht="13.5">
      <c r="A11" s="137" t="s">
        <v>16</v>
      </c>
      <c r="B11" s="80">
        <f>SUM(B6:B10)</f>
        <v>4279.1454811700005</v>
      </c>
      <c r="C11" s="126"/>
      <c r="D11" s="80">
        <f>SUM(D6:D10)</f>
        <v>4404.0673396700004</v>
      </c>
      <c r="E11" s="130"/>
      <c r="F11" s="139">
        <f>B11/$B$16*100</f>
        <v>95.110182568651041</v>
      </c>
      <c r="G11" s="139"/>
      <c r="H11" s="139">
        <f>SUM(H6:H10)</f>
        <v>95.118861489040285</v>
      </c>
      <c r="J11" s="139">
        <f>(D11-B11)/B11*100</f>
        <v>2.9193178649734488</v>
      </c>
    </row>
    <row r="12" spans="1:11" ht="13.5">
      <c r="A12" s="137"/>
      <c r="B12" s="80"/>
      <c r="C12" s="126"/>
      <c r="D12" s="126"/>
      <c r="E12" s="130"/>
      <c r="F12" s="139"/>
      <c r="G12" s="139"/>
      <c r="H12" s="139"/>
      <c r="J12" s="139"/>
    </row>
    <row r="13" spans="1:11" ht="13.5">
      <c r="A13" s="136" t="s">
        <v>101</v>
      </c>
      <c r="B13" s="79">
        <v>50</v>
      </c>
      <c r="C13" s="126"/>
      <c r="D13" s="82">
        <v>58</v>
      </c>
      <c r="E13" s="130"/>
      <c r="F13" s="138">
        <f>B13/$B$16*100</f>
        <v>1.1113221434884013</v>
      </c>
      <c r="G13" s="139"/>
      <c r="H13" s="138">
        <f>D13/$D$16*100</f>
        <v>1.252681564759571</v>
      </c>
      <c r="J13" s="138">
        <f>(D13-B13)/B13*100</f>
        <v>16</v>
      </c>
    </row>
    <row r="14" spans="1:11" ht="13.5">
      <c r="A14" s="136" t="s">
        <v>244</v>
      </c>
      <c r="B14" s="79">
        <v>170</v>
      </c>
      <c r="C14" s="126"/>
      <c r="D14" s="82">
        <v>168</v>
      </c>
      <c r="E14" s="130"/>
      <c r="F14" s="138">
        <f>B14/$B$16*100</f>
        <v>3.7784952878605651</v>
      </c>
      <c r="G14" s="139"/>
      <c r="H14" s="138">
        <f>D14/$D$16*100</f>
        <v>3.6284569462001364</v>
      </c>
      <c r="J14" s="138">
        <f>(D14-B14)/B14*100</f>
        <v>-1.1764705882352942</v>
      </c>
    </row>
    <row r="15" spans="1:11" ht="6" customHeight="1">
      <c r="A15" s="136"/>
      <c r="B15" s="79"/>
      <c r="C15" s="126"/>
      <c r="D15" s="126"/>
      <c r="E15" s="130"/>
      <c r="F15" s="139"/>
      <c r="G15" s="139"/>
      <c r="H15" s="139"/>
      <c r="J15" s="139"/>
    </row>
    <row r="16" spans="1:11" ht="13.5">
      <c r="A16" s="135" t="s">
        <v>248</v>
      </c>
      <c r="B16" s="81">
        <f>B11+B13+B14</f>
        <v>4499.1454811700005</v>
      </c>
      <c r="C16" s="178"/>
      <c r="D16" s="81">
        <f>D11+D13+D14</f>
        <v>4630.0673396700004</v>
      </c>
      <c r="E16" s="179"/>
      <c r="F16" s="140">
        <f>F11+F13+F14</f>
        <v>100.00000000000001</v>
      </c>
      <c r="G16" s="180"/>
      <c r="H16" s="140">
        <v>100</v>
      </c>
      <c r="I16" s="170"/>
      <c r="J16" s="140">
        <f>(D16-B16)/B16*100</f>
        <v>2.9099272083541008</v>
      </c>
    </row>
    <row r="18" spans="1:27">
      <c r="A18" s="47" t="s">
        <v>243</v>
      </c>
    </row>
    <row r="21" spans="1:27">
      <c r="B21" s="181"/>
      <c r="C21" s="181"/>
      <c r="D21" s="181"/>
      <c r="J21" s="67"/>
      <c r="M21" s="121"/>
    </row>
    <row r="22" spans="1:27">
      <c r="B22" s="181"/>
      <c r="D22" s="181"/>
      <c r="J22" s="67"/>
      <c r="L22" s="121"/>
      <c r="O22" s="121"/>
    </row>
    <row r="23" spans="1:27">
      <c r="L23" s="121"/>
    </row>
    <row r="24" spans="1:27">
      <c r="L24" s="121"/>
    </row>
    <row r="25" spans="1:27">
      <c r="L25" s="121"/>
    </row>
    <row r="31" spans="1:27"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</row>
    <row r="32" spans="1:27"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</row>
    <row r="33" spans="12:27">
      <c r="L33" s="182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</row>
    <row r="34" spans="12:27"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</row>
    <row r="35" spans="12:27">
      <c r="AA35" s="183"/>
    </row>
  </sheetData>
  <mergeCells count="2">
    <mergeCell ref="B4:D4"/>
    <mergeCell ref="F4:H4"/>
  </mergeCell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5"/>
  <sheetViews>
    <sheetView zoomScale="75" zoomScaleNormal="75" workbookViewId="0">
      <selection activeCell="A2" sqref="A2"/>
    </sheetView>
  </sheetViews>
  <sheetFormatPr defaultColWidth="17.140625" defaultRowHeight="12.75"/>
  <cols>
    <col min="1" max="1" width="17.140625" style="119" customWidth="1"/>
    <col min="2" max="2" width="8.85546875" style="119" customWidth="1"/>
    <col min="3" max="3" width="9.5703125" style="119" bestFit="1" customWidth="1"/>
    <col min="4" max="6" width="9.140625" style="119" customWidth="1"/>
    <col min="7" max="7" width="3.7109375" style="119" customWidth="1"/>
    <col min="8" max="8" width="13.42578125" style="119" customWidth="1"/>
    <col min="9" max="9" width="12.7109375" style="119" customWidth="1"/>
    <col min="10" max="10" width="10.28515625" style="119" customWidth="1"/>
    <col min="11" max="11" width="9.140625" style="119" customWidth="1"/>
    <col min="12" max="12" width="3.7109375" style="119" customWidth="1"/>
    <col min="13" max="13" width="12" style="119" customWidth="1"/>
    <col min="14" max="255" width="9.140625" style="119" customWidth="1"/>
    <col min="256" max="16384" width="17.140625" style="119"/>
  </cols>
  <sheetData>
    <row r="1" spans="1:17">
      <c r="A1" s="49" t="s">
        <v>188</v>
      </c>
    </row>
    <row r="2" spans="1:17">
      <c r="A2" s="49"/>
    </row>
    <row r="3" spans="1:17">
      <c r="M3" s="167" t="s">
        <v>100</v>
      </c>
    </row>
    <row r="4" spans="1:17">
      <c r="A4" s="168"/>
      <c r="B4" s="169" t="s">
        <v>98</v>
      </c>
      <c r="C4" s="169"/>
      <c r="D4" s="169"/>
      <c r="E4" s="169"/>
      <c r="F4" s="169"/>
      <c r="G4" s="168"/>
      <c r="H4" s="169" t="s">
        <v>59</v>
      </c>
      <c r="I4" s="169"/>
      <c r="J4" s="169"/>
      <c r="K4" s="169"/>
      <c r="L4" s="168"/>
      <c r="M4" s="168"/>
    </row>
    <row r="5" spans="1:17" ht="39" customHeight="1">
      <c r="A5" s="170"/>
      <c r="B5" s="208" t="s">
        <v>249</v>
      </c>
      <c r="C5" s="209" t="s">
        <v>250</v>
      </c>
      <c r="D5" s="209" t="s">
        <v>251</v>
      </c>
      <c r="E5" s="209" t="s">
        <v>252</v>
      </c>
      <c r="F5" s="208" t="s">
        <v>253</v>
      </c>
      <c r="G5" s="210"/>
      <c r="H5" s="208" t="s">
        <v>254</v>
      </c>
      <c r="I5" s="208" t="s">
        <v>255</v>
      </c>
      <c r="J5" s="208" t="s">
        <v>256</v>
      </c>
      <c r="K5" s="208" t="s">
        <v>257</v>
      </c>
      <c r="L5" s="210"/>
      <c r="M5" s="208" t="s">
        <v>258</v>
      </c>
    </row>
    <row r="7" spans="1:17">
      <c r="A7" s="132" t="s">
        <v>81</v>
      </c>
      <c r="B7" s="82">
        <f>[1]Tab.3!C21</f>
        <v>8.1308822900000006</v>
      </c>
      <c r="C7" s="82">
        <f>[1]Tab.3!B21</f>
        <v>29.46376493</v>
      </c>
      <c r="D7" s="82">
        <f>[1]Tab.3!D21</f>
        <v>5.5175717799999999</v>
      </c>
      <c r="E7" s="82">
        <f>[1]Tab.3!E21</f>
        <v>0.71197975000000002</v>
      </c>
      <c r="F7" s="82">
        <f>[1]Tab.3!G21</f>
        <v>43.824198749999994</v>
      </c>
      <c r="G7" s="172"/>
      <c r="H7" s="82">
        <f>[1]Tab.2!B23</f>
        <v>171.26446115000002</v>
      </c>
      <c r="I7" s="82">
        <f>'[1]Tabelle 1-2-3 Articolo'!AL40</f>
        <v>34.24197942</v>
      </c>
      <c r="J7" s="120">
        <f>'[1]Tabelle 1-2-3 Articolo'!AP40</f>
        <v>0.45828161999999972</v>
      </c>
      <c r="K7" s="82">
        <f>H7+I7+J7</f>
        <v>205.96472219000003</v>
      </c>
      <c r="L7" s="172"/>
      <c r="M7" s="82">
        <f t="shared" ref="M7:M26" si="0">F7+K7</f>
        <v>249.78892094000003</v>
      </c>
      <c r="O7" s="121"/>
      <c r="P7" s="121"/>
      <c r="Q7" s="121"/>
    </row>
    <row r="8" spans="1:17">
      <c r="A8" s="132" t="s">
        <v>82</v>
      </c>
      <c r="B8" s="82">
        <f>[1]Tab.3!C22</f>
        <v>0</v>
      </c>
      <c r="C8" s="82">
        <f>[1]Tab.3!B22</f>
        <v>1.1604000000000001E-4</v>
      </c>
      <c r="D8" s="82">
        <f>[1]Tab.3!D22</f>
        <v>0</v>
      </c>
      <c r="E8" s="82">
        <f>[1]Tab.3!E22</f>
        <v>1.0215769999999999E-2</v>
      </c>
      <c r="F8" s="82">
        <f>[1]Tab.3!G22</f>
        <v>1.0331809999999999E-2</v>
      </c>
      <c r="G8" s="172"/>
      <c r="H8" s="82">
        <f>[1]Tab.2!B24</f>
        <v>2.2316658700000001</v>
      </c>
      <c r="I8" s="82">
        <f>'[1]Tabelle 1-2-3 Articolo'!AL41</f>
        <v>7.6177999999999999E-4</v>
      </c>
      <c r="J8" s="120">
        <f>'[1]Tabelle 1-2-3 Articolo'!AP41</f>
        <v>0</v>
      </c>
      <c r="K8" s="82">
        <f t="shared" ref="K8:K28" si="1">H8+I8+J8</f>
        <v>2.23242765</v>
      </c>
      <c r="L8" s="172"/>
      <c r="M8" s="82">
        <f t="shared" si="0"/>
        <v>2.2427594599999998</v>
      </c>
      <c r="O8" s="121"/>
    </row>
    <row r="9" spans="1:17" ht="15">
      <c r="A9" s="132" t="s">
        <v>83</v>
      </c>
      <c r="B9" s="82">
        <f>[1]Tab.3!C23</f>
        <v>22.862726010000003</v>
      </c>
      <c r="C9" s="82">
        <f>[1]Tab.3!B23</f>
        <v>21.03131338</v>
      </c>
      <c r="D9" s="82">
        <f>[1]Tab.3!D23</f>
        <v>19.030471200000001</v>
      </c>
      <c r="E9" s="82">
        <f>[1]Tab.3!E23</f>
        <v>1.5797831400000002</v>
      </c>
      <c r="F9" s="82">
        <f>[1]Tab.3!G23</f>
        <v>64.504293730000001</v>
      </c>
      <c r="G9" s="172"/>
      <c r="H9" s="82">
        <f>[1]Tab.2!B25</f>
        <v>492.97699455999998</v>
      </c>
      <c r="I9" s="82">
        <f>'[1]Tabelle 1-2-3 Articolo'!AL42</f>
        <v>33.499329380000006</v>
      </c>
      <c r="J9" s="120">
        <f>'[1]Tabelle 1-2-3 Articolo'!AP42</f>
        <v>0.15995806000000218</v>
      </c>
      <c r="K9" s="82">
        <f t="shared" si="1"/>
        <v>526.63628199999994</v>
      </c>
      <c r="L9" s="172"/>
      <c r="M9" s="82">
        <f t="shared" si="0"/>
        <v>591.14057572999991</v>
      </c>
      <c r="O9" s="122"/>
    </row>
    <row r="10" spans="1:17">
      <c r="A10" s="132" t="s">
        <v>85</v>
      </c>
      <c r="B10" s="82">
        <f>[1]Tab.3!C27</f>
        <v>3.3444980000000006E-2</v>
      </c>
      <c r="C10" s="82">
        <f>[1]Tab.3!B27</f>
        <v>6.3369540000000002E-2</v>
      </c>
      <c r="D10" s="82">
        <f>[1]Tab.3!D27</f>
        <v>0</v>
      </c>
      <c r="E10" s="82">
        <f>[1]Tab.3!E27</f>
        <v>0.67648120999999994</v>
      </c>
      <c r="F10" s="82">
        <f>[1]Tab.3!G27</f>
        <v>0.77329572999999996</v>
      </c>
      <c r="G10" s="172"/>
      <c r="H10" s="82">
        <f>[1]Tab.2!B29</f>
        <v>5.4198819399999998</v>
      </c>
      <c r="I10" s="82">
        <f>'[1]Tabelle 1-2-3 Articolo'!AL46</f>
        <v>1.5840740699999998</v>
      </c>
      <c r="J10" s="120">
        <f>'[1]Tabelle 1-2-3 Articolo'!AP46</f>
        <v>6.3634000000011048E-4</v>
      </c>
      <c r="K10" s="82">
        <f>H10+I10+J10</f>
        <v>7.0045923499999994</v>
      </c>
      <c r="L10" s="172"/>
      <c r="M10" s="82">
        <f>F10+K10</f>
        <v>7.7778880799999994</v>
      </c>
      <c r="O10" s="121"/>
    </row>
    <row r="11" spans="1:17">
      <c r="A11" s="132" t="s">
        <v>181</v>
      </c>
      <c r="B11" s="82">
        <f>[1]Tab.3!C24</f>
        <v>18.75040894</v>
      </c>
      <c r="C11" s="82">
        <f>[1]Tab.3!B24</f>
        <v>9.6030321399999998</v>
      </c>
      <c r="D11" s="82">
        <f>[1]Tab.3!D24</f>
        <v>24.373176260000001</v>
      </c>
      <c r="E11" s="82">
        <f>[1]Tab.3!E24</f>
        <v>0.18783174999999999</v>
      </c>
      <c r="F11" s="82">
        <f>[1]Tab.3!G24</f>
        <v>52.914449090000005</v>
      </c>
      <c r="G11" s="172"/>
      <c r="H11" s="82">
        <f>[1]Tab.2!B26</f>
        <v>22.808548660000014</v>
      </c>
      <c r="I11" s="82">
        <f>'[1]Tabelle 1-2-3 Articolo'!AL43</f>
        <v>25.663678380000025</v>
      </c>
      <c r="J11" s="120">
        <f>'[1]Tabelle 1-2-3 Articolo'!AP43</f>
        <v>8.477729999999184E-3</v>
      </c>
      <c r="K11" s="82">
        <f t="shared" si="1"/>
        <v>48.480704770000031</v>
      </c>
      <c r="L11" s="172"/>
      <c r="M11" s="82">
        <f t="shared" si="0"/>
        <v>101.39515386000004</v>
      </c>
      <c r="O11" s="121"/>
    </row>
    <row r="12" spans="1:17" ht="15">
      <c r="A12" s="132" t="s">
        <v>84</v>
      </c>
      <c r="B12" s="82">
        <f>[1]Tab.3!C25</f>
        <v>2.21084719</v>
      </c>
      <c r="C12" s="82">
        <f>[1]Tab.3!B25</f>
        <v>73.372530870000006</v>
      </c>
      <c r="D12" s="82">
        <f>[1]Tab.3!D25</f>
        <v>13.73240848</v>
      </c>
      <c r="E12" s="82">
        <f>[1]Tab.3!E25</f>
        <v>1.7454283700000002</v>
      </c>
      <c r="F12" s="82">
        <f>[1]Tab.3!G25</f>
        <v>91.061214910000004</v>
      </c>
      <c r="G12" s="172"/>
      <c r="H12" s="82">
        <f>[1]Tab.2!B27</f>
        <v>371.78699577999998</v>
      </c>
      <c r="I12" s="82">
        <f>'[1]Tabelle 1-2-3 Articolo'!AL44</f>
        <v>36.32505175</v>
      </c>
      <c r="J12" s="120">
        <f>'[1]Tabelle 1-2-3 Articolo'!AP44</f>
        <v>0.26598161000000098</v>
      </c>
      <c r="K12" s="82">
        <f t="shared" si="1"/>
        <v>408.37802913999997</v>
      </c>
      <c r="L12" s="172"/>
      <c r="M12" s="82">
        <f t="shared" si="0"/>
        <v>499.43924404999996</v>
      </c>
      <c r="O12" s="123"/>
    </row>
    <row r="13" spans="1:17">
      <c r="A13" s="132" t="s">
        <v>179</v>
      </c>
      <c r="B13" s="82">
        <f>[1]Tab.3!C26</f>
        <v>0.29820712999999999</v>
      </c>
      <c r="C13" s="82">
        <f>[1]Tab.3!B26</f>
        <v>11.284740939999999</v>
      </c>
      <c r="D13" s="82">
        <f>[1]Tab.3!D26</f>
        <v>0.15360391000000001</v>
      </c>
      <c r="E13" s="82">
        <f>[1]Tab.3!E26</f>
        <v>9.0032500000000001E-2</v>
      </c>
      <c r="F13" s="82">
        <f>[1]Tab.3!G26</f>
        <v>11.826584479999998</v>
      </c>
      <c r="G13" s="172"/>
      <c r="H13" s="82">
        <f>[1]Tab.2!B28</f>
        <v>55.445776120000005</v>
      </c>
      <c r="I13" s="82">
        <f>'[1]Tabelle 1-2-3 Articolo'!AL45</f>
        <v>4.0334017299999996</v>
      </c>
      <c r="J13" s="120">
        <f>'[1]Tabelle 1-2-3 Articolo'!AP45</f>
        <v>2.2987259999999888E-2</v>
      </c>
      <c r="K13" s="82">
        <f t="shared" si="1"/>
        <v>59.502165110000007</v>
      </c>
      <c r="L13" s="172"/>
      <c r="M13" s="82">
        <f t="shared" si="0"/>
        <v>71.328749590000001</v>
      </c>
      <c r="O13" s="121"/>
    </row>
    <row r="14" spans="1:17">
      <c r="A14" s="132" t="s">
        <v>180</v>
      </c>
      <c r="B14" s="82">
        <f>[1]Tab.3!C28</f>
        <v>6.5417145899999998</v>
      </c>
      <c r="C14" s="82">
        <f>[1]Tab.3!B28</f>
        <v>26.380981320000004</v>
      </c>
      <c r="D14" s="82">
        <f>[1]Tab.3!D28</f>
        <v>92.755666340000005</v>
      </c>
      <c r="E14" s="82">
        <f>[1]Tab.3!E28</f>
        <v>0.57142766999999994</v>
      </c>
      <c r="F14" s="82">
        <f>[1]Tab.3!G28</f>
        <v>126.24978992000001</v>
      </c>
      <c r="G14" s="172"/>
      <c r="H14" s="82">
        <f>[1]Tab.2!B30</f>
        <v>239.44127069999993</v>
      </c>
      <c r="I14" s="82">
        <f>'[1]Tabelle 1-2-3 Articolo'!AL47</f>
        <v>29.987275550000032</v>
      </c>
      <c r="J14" s="120">
        <f>'[1]Tabelle 1-2-3 Articolo'!AP47</f>
        <v>0.2918307199999996</v>
      </c>
      <c r="K14" s="82">
        <f t="shared" si="1"/>
        <v>269.72037696999996</v>
      </c>
      <c r="L14" s="172"/>
      <c r="M14" s="82">
        <f t="shared" si="0"/>
        <v>395.97016688999997</v>
      </c>
      <c r="O14" s="121"/>
    </row>
    <row r="15" spans="1:17">
      <c r="A15" s="132" t="s">
        <v>86</v>
      </c>
      <c r="B15" s="82">
        <f>[1]Tab.3!C29</f>
        <v>0.34699033000000001</v>
      </c>
      <c r="C15" s="82">
        <f>[1]Tab.3!B29</f>
        <v>44.549739029999998</v>
      </c>
      <c r="D15" s="82">
        <f>[1]Tab.3!D29</f>
        <v>1.5856026599999999</v>
      </c>
      <c r="E15" s="82">
        <f>[1]Tab.3!E29</f>
        <v>1.1793430900000001</v>
      </c>
      <c r="F15" s="82">
        <f>[1]Tab.3!G29</f>
        <v>47.661675109999997</v>
      </c>
      <c r="G15" s="172"/>
      <c r="H15" s="82">
        <f>[1]Tab.2!B31</f>
        <v>110.69739168</v>
      </c>
      <c r="I15" s="82">
        <f>'[1]Tabelle 1-2-3 Articolo'!AL48</f>
        <v>19.437200269999998</v>
      </c>
      <c r="J15" s="120">
        <f>'[1]Tabelle 1-2-3 Articolo'!AP48</f>
        <v>0.31994769999999906</v>
      </c>
      <c r="K15" s="82">
        <f t="shared" si="1"/>
        <v>130.45453964999999</v>
      </c>
      <c r="L15" s="172"/>
      <c r="M15" s="82">
        <f t="shared" si="0"/>
        <v>178.11621475999999</v>
      </c>
      <c r="O15" s="121"/>
    </row>
    <row r="16" spans="1:17">
      <c r="A16" s="132" t="s">
        <v>87</v>
      </c>
      <c r="B16" s="82">
        <f>[1]Tab.3!C30</f>
        <v>1.637769E-2</v>
      </c>
      <c r="C16" s="82">
        <f>[1]Tab.3!B30</f>
        <v>4.8735746600000001</v>
      </c>
      <c r="D16" s="82">
        <f>[1]Tab.3!D30</f>
        <v>0</v>
      </c>
      <c r="E16" s="82">
        <f>[1]Tab.3!E30</f>
        <v>0.64236571999999992</v>
      </c>
      <c r="F16" s="82">
        <f>[1]Tab.3!G30</f>
        <v>5.5323180699999996</v>
      </c>
      <c r="G16" s="172"/>
      <c r="H16" s="82">
        <f>[1]Tab.2!B32</f>
        <v>71.217830800000002</v>
      </c>
      <c r="I16" s="82">
        <f>'[1]Tabelle 1-2-3 Articolo'!AL49</f>
        <v>11.101171050000001</v>
      </c>
      <c r="J16" s="120">
        <f>'[1]Tabelle 1-2-3 Articolo'!AP49</f>
        <v>0.14459052000000003</v>
      </c>
      <c r="K16" s="82">
        <f t="shared" si="1"/>
        <v>82.463592370000001</v>
      </c>
      <c r="L16" s="172"/>
      <c r="M16" s="82">
        <f t="shared" si="0"/>
        <v>87.995910440000003</v>
      </c>
      <c r="O16" s="121"/>
      <c r="Q16" s="121"/>
    </row>
    <row r="17" spans="1:17">
      <c r="A17" s="132" t="s">
        <v>88</v>
      </c>
      <c r="B17" s="82">
        <f>[1]Tab.3!C31</f>
        <v>3.0410740000000002E-2</v>
      </c>
      <c r="C17" s="82">
        <f>[1]Tab.3!B31</f>
        <v>7.9388438899999993</v>
      </c>
      <c r="D17" s="82">
        <f>[1]Tab.3!D31</f>
        <v>1.1369170100000001</v>
      </c>
      <c r="E17" s="82">
        <f>[1]Tab.3!E31</f>
        <v>0.14134863</v>
      </c>
      <c r="F17" s="82">
        <f>[1]Tab.3!G31</f>
        <v>9.247520269999999</v>
      </c>
      <c r="G17" s="172"/>
      <c r="H17" s="82">
        <f>[1]Tab.2!B33</f>
        <v>117.70644271</v>
      </c>
      <c r="I17" s="82">
        <f>'[1]Tabelle 1-2-3 Articolo'!AL50</f>
        <v>13.824725540000001</v>
      </c>
      <c r="J17" s="120">
        <f>'[1]Tabelle 1-2-3 Articolo'!AP50</f>
        <v>0.28813514000000007</v>
      </c>
      <c r="K17" s="82">
        <f t="shared" si="1"/>
        <v>131.81930339000002</v>
      </c>
      <c r="L17" s="172"/>
      <c r="M17" s="82">
        <f t="shared" si="0"/>
        <v>141.06682366000001</v>
      </c>
      <c r="O17" s="121"/>
    </row>
    <row r="18" spans="1:17">
      <c r="A18" s="132" t="s">
        <v>89</v>
      </c>
      <c r="B18" s="82">
        <f>[1]Tab.3!C32</f>
        <v>2.7722420100000003</v>
      </c>
      <c r="C18" s="82">
        <f>[1]Tab.3!B32</f>
        <v>5.3722884400000002</v>
      </c>
      <c r="D18" s="82">
        <f>[1]Tab.3!D32</f>
        <v>8.1474829800000013</v>
      </c>
      <c r="E18" s="82">
        <f>[1]Tab.3!E32</f>
        <v>29.354441640000001</v>
      </c>
      <c r="F18" s="82">
        <f>[1]Tab.3!G32</f>
        <v>45.646455070000002</v>
      </c>
      <c r="G18" s="172"/>
      <c r="H18" s="82">
        <f>[1]Tab.2!B34</f>
        <v>142.12992817</v>
      </c>
      <c r="I18" s="82">
        <f>'[1]Tabelle 1-2-3 Articolo'!AL51</f>
        <v>9.4328197599999992</v>
      </c>
      <c r="J18" s="120">
        <f>'[1]Tabelle 1-2-3 Articolo'!AP51</f>
        <v>0.44472170999999933</v>
      </c>
      <c r="K18" s="82">
        <f t="shared" si="1"/>
        <v>152.00746964000001</v>
      </c>
      <c r="L18" s="172"/>
      <c r="M18" s="82">
        <f t="shared" si="0"/>
        <v>197.65392471000001</v>
      </c>
      <c r="O18" s="121"/>
    </row>
    <row r="19" spans="1:17">
      <c r="A19" s="132" t="s">
        <v>90</v>
      </c>
      <c r="B19" s="82">
        <f>[1]Tab.3!C33</f>
        <v>8.1981173300000005</v>
      </c>
      <c r="C19" s="82">
        <f>[1]Tab.3!B33</f>
        <v>13.742579920000001</v>
      </c>
      <c r="D19" s="82">
        <f>[1]Tab.3!D33</f>
        <v>1.6473025299999999</v>
      </c>
      <c r="E19" s="82">
        <f>[1]Tab.3!E33</f>
        <v>0.15565956</v>
      </c>
      <c r="F19" s="82">
        <f>[1]Tab.3!G33</f>
        <v>23.743659340000001</v>
      </c>
      <c r="G19" s="172"/>
      <c r="H19" s="82">
        <f>[1]Tab.2!B35</f>
        <v>56.523706070000003</v>
      </c>
      <c r="I19" s="82">
        <f>'[1]Tabelle 1-2-3 Articolo'!AL52</f>
        <v>3.3429733000000001</v>
      </c>
      <c r="J19" s="120">
        <f>'[1]Tabelle 1-2-3 Articolo'!AP52</f>
        <v>0.31918970000000002</v>
      </c>
      <c r="K19" s="82">
        <f t="shared" si="1"/>
        <v>60.185869070000003</v>
      </c>
      <c r="L19" s="172"/>
      <c r="M19" s="82">
        <f t="shared" si="0"/>
        <v>83.929528410000003</v>
      </c>
      <c r="O19" s="121"/>
    </row>
    <row r="20" spans="1:17">
      <c r="A20" s="132" t="s">
        <v>91</v>
      </c>
      <c r="B20" s="82">
        <f>[1]Tab.3!C34</f>
        <v>4.4149899999999997E-3</v>
      </c>
      <c r="C20" s="82">
        <f>[1]Tab.3!B34</f>
        <v>1.9345206300000002</v>
      </c>
      <c r="D20" s="82">
        <f>[1]Tab.3!D34</f>
        <v>2.2932512099999998</v>
      </c>
      <c r="E20" s="82">
        <f>[1]Tab.3!E34</f>
        <v>2.5933149999999999E-2</v>
      </c>
      <c r="F20" s="82">
        <f>[1]Tab.3!G34</f>
        <v>4.25811998</v>
      </c>
      <c r="G20" s="172"/>
      <c r="H20" s="82">
        <f>[1]Tab.2!B36</f>
        <v>42.436713940000004</v>
      </c>
      <c r="I20" s="82">
        <f>'[1]Tabelle 1-2-3 Articolo'!AL53</f>
        <v>2.3591748900000002</v>
      </c>
      <c r="J20" s="120">
        <f>'[1]Tabelle 1-2-3 Articolo'!AP53</f>
        <v>0.23151027999999987</v>
      </c>
      <c r="K20" s="82">
        <f t="shared" si="1"/>
        <v>45.027399110000005</v>
      </c>
      <c r="L20" s="172"/>
      <c r="M20" s="82">
        <f t="shared" si="0"/>
        <v>49.285519090000008</v>
      </c>
      <c r="O20" s="121"/>
    </row>
    <row r="21" spans="1:17">
      <c r="A21" s="132" t="s">
        <v>92</v>
      </c>
      <c r="B21" s="82">
        <f>[1]Tab.3!C35</f>
        <v>8.5843952099999985</v>
      </c>
      <c r="C21" s="82">
        <f>[1]Tab.3!B35</f>
        <v>6.9058453399999991</v>
      </c>
      <c r="D21" s="82">
        <f>[1]Tab.3!D35</f>
        <v>12.059499259999999</v>
      </c>
      <c r="E21" s="82">
        <f>[1]Tab.3!E35</f>
        <v>0.24427009000000002</v>
      </c>
      <c r="F21" s="82">
        <f>[1]Tab.3!G35</f>
        <v>27.794009899999999</v>
      </c>
      <c r="G21" s="172"/>
      <c r="H21" s="82">
        <f>[1]Tab.2!B37</f>
        <v>149.68588410000001</v>
      </c>
      <c r="I21" s="82">
        <f>'[1]Tabelle 1-2-3 Articolo'!AL54</f>
        <v>11.08521498</v>
      </c>
      <c r="J21" s="120">
        <f>'[1]Tabelle 1-2-3 Articolo'!AP54</f>
        <v>0.25285588999999969</v>
      </c>
      <c r="K21" s="82">
        <f t="shared" si="1"/>
        <v>161.02395497000001</v>
      </c>
      <c r="L21" s="172"/>
      <c r="M21" s="82">
        <f t="shared" si="0"/>
        <v>188.81796487</v>
      </c>
      <c r="O21" s="121"/>
      <c r="P21" s="121"/>
      <c r="Q21" s="121"/>
    </row>
    <row r="22" spans="1:17" ht="15">
      <c r="A22" s="132" t="s">
        <v>93</v>
      </c>
      <c r="B22" s="82">
        <f>[1]Tab.3!C36</f>
        <v>23.076261370000001</v>
      </c>
      <c r="C22" s="82">
        <f>[1]Tab.3!B36</f>
        <v>26.117913819999998</v>
      </c>
      <c r="D22" s="82">
        <f>[1]Tab.3!D36</f>
        <v>5.1683315099999998</v>
      </c>
      <c r="E22" s="82">
        <f>[1]Tab.3!E36</f>
        <v>3.47511707</v>
      </c>
      <c r="F22" s="82">
        <f>[1]Tab.3!G36</f>
        <v>57.83762377</v>
      </c>
      <c r="G22" s="172"/>
      <c r="H22" s="82">
        <f>[1]Tab.2!B38</f>
        <v>506.87185907000003</v>
      </c>
      <c r="I22" s="82">
        <f>'[1]Tabelle 1-2-3 Articolo'!AL55</f>
        <v>22.204619029999996</v>
      </c>
      <c r="J22" s="120">
        <f>'[1]Tabelle 1-2-3 Articolo'!AP55</f>
        <v>0.64903191999999921</v>
      </c>
      <c r="K22" s="82">
        <f t="shared" si="1"/>
        <v>529.72551002</v>
      </c>
      <c r="L22" s="172"/>
      <c r="M22" s="82">
        <f t="shared" si="0"/>
        <v>587.56313379000005</v>
      </c>
      <c r="O22" s="124"/>
    </row>
    <row r="23" spans="1:17">
      <c r="A23" s="132" t="s">
        <v>94</v>
      </c>
      <c r="B23" s="82">
        <f>[1]Tab.3!C37</f>
        <v>1.7263399999999998E-3</v>
      </c>
      <c r="C23" s="82">
        <f>[1]Tab.3!B37</f>
        <v>0.68346057999999998</v>
      </c>
      <c r="D23" s="82">
        <f>[1]Tab.3!D37</f>
        <v>3.2333240000000001</v>
      </c>
      <c r="E23" s="82">
        <f>[1]Tab.3!E37</f>
        <v>0.18848271</v>
      </c>
      <c r="F23" s="82">
        <f>[1]Tab.3!G37</f>
        <v>4.1069936299999998</v>
      </c>
      <c r="G23" s="172"/>
      <c r="H23" s="82">
        <f>[1]Tab.2!B39</f>
        <v>94.378505329999996</v>
      </c>
      <c r="I23" s="82">
        <f>'[1]Tabelle 1-2-3 Articolo'!AL56</f>
        <v>9.4378982899999997</v>
      </c>
      <c r="J23" s="120">
        <f>'[1]Tabelle 1-2-3 Articolo'!AP56</f>
        <v>0.33260376999999997</v>
      </c>
      <c r="K23" s="82">
        <f t="shared" si="1"/>
        <v>104.14900738999999</v>
      </c>
      <c r="L23" s="172"/>
      <c r="M23" s="82">
        <f t="shared" si="0"/>
        <v>108.25600102</v>
      </c>
      <c r="O23" s="121"/>
    </row>
    <row r="24" spans="1:17">
      <c r="A24" s="132" t="s">
        <v>95</v>
      </c>
      <c r="B24" s="82">
        <f>[1]Tab.3!C38</f>
        <v>0.119242</v>
      </c>
      <c r="C24" s="82">
        <f>[1]Tab.3!B38</f>
        <v>3.0043879600000003</v>
      </c>
      <c r="D24" s="82">
        <f>[1]Tab.3!D38</f>
        <v>8.0346818799999991</v>
      </c>
      <c r="E24" s="82">
        <f>[1]Tab.3!E38</f>
        <v>3.1419281799999998</v>
      </c>
      <c r="F24" s="82">
        <f>[1]Tab.3!G38</f>
        <v>14.30024002</v>
      </c>
      <c r="G24" s="172"/>
      <c r="H24" s="82">
        <f>[1]Tab.2!B40</f>
        <v>304.27697323000001</v>
      </c>
      <c r="I24" s="82">
        <f>'[1]Tabelle 1-2-3 Articolo'!AL57</f>
        <v>2.3549594099999998</v>
      </c>
      <c r="J24" s="120">
        <f>'[1]Tabelle 1-2-3 Articolo'!AP57</f>
        <v>0.11310545000000012</v>
      </c>
      <c r="K24" s="82">
        <f t="shared" si="1"/>
        <v>306.74503808999998</v>
      </c>
      <c r="L24" s="172"/>
      <c r="M24" s="82">
        <f t="shared" si="0"/>
        <v>321.04527810999997</v>
      </c>
      <c r="O24" s="121"/>
    </row>
    <row r="25" spans="1:17">
      <c r="A25" s="132" t="s">
        <v>96</v>
      </c>
      <c r="B25" s="82">
        <f>[1]Tab.3!C39</f>
        <v>0.22143815999999999</v>
      </c>
      <c r="C25" s="82">
        <f>[1]Tab.3!B39</f>
        <v>48.083686439999987</v>
      </c>
      <c r="D25" s="82">
        <f>[1]Tab.3!D39</f>
        <v>12.381981420000001</v>
      </c>
      <c r="E25" s="82">
        <f>[1]Tab.3!E39</f>
        <v>0.58457957000000005</v>
      </c>
      <c r="F25" s="82">
        <f>[1]Tab.3!G39</f>
        <v>61.27168558999999</v>
      </c>
      <c r="G25" s="172"/>
      <c r="H25" s="82">
        <f>[1]Tab.2!B41</f>
        <v>277.53228568000003</v>
      </c>
      <c r="I25" s="82">
        <f>'[1]Tabelle 1-2-3 Articolo'!AL58</f>
        <v>23.102824569999999</v>
      </c>
      <c r="J25" s="120">
        <f>'[1]Tabelle 1-2-3 Articolo'!AP58</f>
        <v>0.29216828000000161</v>
      </c>
      <c r="K25" s="82">
        <f t="shared" si="1"/>
        <v>300.92727853000002</v>
      </c>
      <c r="L25" s="172"/>
      <c r="M25" s="82">
        <f t="shared" si="0"/>
        <v>362.19896412000003</v>
      </c>
      <c r="O25" s="121"/>
    </row>
    <row r="26" spans="1:17">
      <c r="A26" s="132" t="s">
        <v>97</v>
      </c>
      <c r="B26" s="82">
        <f>[1]Tab.3!C40</f>
        <v>2.5268659999999998E-2</v>
      </c>
      <c r="C26" s="82">
        <f>[1]Tab.3!B40</f>
        <v>5.0848890199999994</v>
      </c>
      <c r="D26" s="82">
        <f>[1]Tab.3!D40</f>
        <v>1.12584749</v>
      </c>
      <c r="E26" s="82">
        <f>[1]Tab.3!E40</f>
        <v>0.14687706</v>
      </c>
      <c r="F26" s="82">
        <f>[1]Tab.3!G40</f>
        <v>6.3828822299999999</v>
      </c>
      <c r="G26" s="172"/>
      <c r="H26" s="82">
        <f>[1]Tab.2!B42</f>
        <v>158.9220028</v>
      </c>
      <c r="I26" s="82">
        <f>'[1]Tabelle 1-2-3 Articolo'!AL59</f>
        <v>13.188753179999999</v>
      </c>
      <c r="J26" s="120">
        <f>'[1]Tabelle 1-2-3 Articolo'!AP59</f>
        <v>0.56097987999999943</v>
      </c>
      <c r="K26" s="82">
        <f t="shared" si="1"/>
        <v>172.67173585999998</v>
      </c>
      <c r="L26" s="172"/>
      <c r="M26" s="82">
        <f t="shared" si="0"/>
        <v>179.05461808999999</v>
      </c>
      <c r="O26" s="121"/>
    </row>
    <row r="27" spans="1:17">
      <c r="A27" s="132"/>
      <c r="B27" s="82"/>
      <c r="C27" s="82"/>
      <c r="D27" s="82"/>
      <c r="E27" s="82"/>
      <c r="F27" s="82"/>
      <c r="G27" s="172"/>
      <c r="H27" s="82"/>
      <c r="I27" s="82"/>
      <c r="J27" s="82"/>
      <c r="K27" s="82"/>
      <c r="L27" s="172"/>
      <c r="M27" s="82"/>
      <c r="O27" s="125"/>
    </row>
    <row r="28" spans="1:17">
      <c r="A28" s="133" t="s">
        <v>16</v>
      </c>
      <c r="B28" s="83">
        <f>[1]Tab.3!C42</f>
        <v>102.22511596</v>
      </c>
      <c r="C28" s="83">
        <f>[1]Tab.3!B42</f>
        <v>339.49157888999997</v>
      </c>
      <c r="D28" s="83">
        <f>[1]Tab.3!D42</f>
        <v>212.37711991999998</v>
      </c>
      <c r="E28" s="83">
        <f>[1]Tab.3!E42</f>
        <v>44.853526630000012</v>
      </c>
      <c r="F28" s="83">
        <f>[1]Tab.3!G42</f>
        <v>698.94734139999991</v>
      </c>
      <c r="G28" s="173"/>
      <c r="H28" s="83">
        <f>[1]Tab.2!B44</f>
        <v>3393.7551183599994</v>
      </c>
      <c r="I28" s="83">
        <f>SUM(I7:I26)</f>
        <v>306.20788633000006</v>
      </c>
      <c r="J28" s="83">
        <f>SUM(J7:J26)</f>
        <v>5.15699358</v>
      </c>
      <c r="K28" s="83">
        <f t="shared" si="1"/>
        <v>3705.1199982699991</v>
      </c>
      <c r="L28" s="173"/>
      <c r="M28" s="83">
        <f>F28+K28</f>
        <v>4404.0673396699985</v>
      </c>
      <c r="O28" s="125"/>
    </row>
    <row r="29" spans="1:17">
      <c r="A29" s="174"/>
      <c r="B29" s="172"/>
      <c r="C29" s="172"/>
      <c r="D29" s="172"/>
      <c r="E29" s="172"/>
      <c r="F29" s="172"/>
      <c r="I29" s="121"/>
    </row>
    <row r="30" spans="1:17">
      <c r="A30" s="132" t="s">
        <v>101</v>
      </c>
      <c r="B30" s="175" t="s">
        <v>33</v>
      </c>
      <c r="C30" s="175" t="s">
        <v>33</v>
      </c>
      <c r="D30" s="175" t="s">
        <v>33</v>
      </c>
      <c r="E30" s="175" t="s">
        <v>33</v>
      </c>
      <c r="F30" s="175" t="s">
        <v>33</v>
      </c>
      <c r="G30" s="175"/>
      <c r="H30" s="175" t="s">
        <v>33</v>
      </c>
      <c r="I30" s="175" t="s">
        <v>33</v>
      </c>
      <c r="J30" s="175" t="s">
        <v>33</v>
      </c>
      <c r="K30" s="175" t="s">
        <v>33</v>
      </c>
      <c r="M30" s="82">
        <v>58</v>
      </c>
    </row>
    <row r="31" spans="1:17">
      <c r="A31" s="134" t="s">
        <v>244</v>
      </c>
      <c r="B31" s="175" t="s">
        <v>33</v>
      </c>
      <c r="C31" s="175" t="s">
        <v>33</v>
      </c>
      <c r="D31" s="175" t="s">
        <v>33</v>
      </c>
      <c r="E31" s="175" t="s">
        <v>33</v>
      </c>
      <c r="F31" s="175" t="s">
        <v>33</v>
      </c>
      <c r="G31" s="175"/>
      <c r="H31" s="175" t="s">
        <v>33</v>
      </c>
      <c r="I31" s="175" t="s">
        <v>33</v>
      </c>
      <c r="J31" s="175" t="s">
        <v>33</v>
      </c>
      <c r="K31" s="175" t="s">
        <v>33</v>
      </c>
      <c r="M31" s="82">
        <v>168</v>
      </c>
    </row>
    <row r="32" spans="1:17">
      <c r="A32" s="174"/>
    </row>
    <row r="33" spans="1:13">
      <c r="A33" s="135" t="s">
        <v>248</v>
      </c>
      <c r="B33" s="84">
        <f>B28</f>
        <v>102.22511596</v>
      </c>
      <c r="C33" s="84">
        <f t="shared" ref="C33:K33" si="2">C28</f>
        <v>339.49157888999997</v>
      </c>
      <c r="D33" s="84">
        <f t="shared" si="2"/>
        <v>212.37711991999998</v>
      </c>
      <c r="E33" s="84">
        <f t="shared" si="2"/>
        <v>44.853526630000012</v>
      </c>
      <c r="F33" s="84">
        <f t="shared" si="2"/>
        <v>698.94734139999991</v>
      </c>
      <c r="G33" s="84">
        <f t="shared" si="2"/>
        <v>0</v>
      </c>
      <c r="H33" s="84">
        <f t="shared" si="2"/>
        <v>3393.7551183599994</v>
      </c>
      <c r="I33" s="84">
        <f t="shared" si="2"/>
        <v>306.20788633000006</v>
      </c>
      <c r="J33" s="84">
        <f t="shared" si="2"/>
        <v>5.15699358</v>
      </c>
      <c r="K33" s="84">
        <f t="shared" si="2"/>
        <v>3705.1199982699991</v>
      </c>
      <c r="L33" s="170"/>
      <c r="M33" s="84">
        <f>SUM(M28:M32)</f>
        <v>4630.0673396699985</v>
      </c>
    </row>
    <row r="35" spans="1:13">
      <c r="A35" s="47" t="s">
        <v>243</v>
      </c>
    </row>
  </sheetData>
  <mergeCells count="2">
    <mergeCell ref="B4:F4"/>
    <mergeCell ref="H4:K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t1</vt:lpstr>
      <vt:lpstr>t2</vt:lpstr>
      <vt:lpstr>t3</vt:lpstr>
      <vt:lpstr>t4</vt:lpstr>
      <vt:lpstr>t5</vt:lpstr>
      <vt:lpstr>t6</vt:lpstr>
      <vt:lpstr>t7</vt:lpstr>
      <vt:lpstr>t8</vt:lpstr>
    </vt:vector>
  </TitlesOfParts>
  <Company>INEA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Rosaria Pupo D'Andrea</dc:creator>
  <cp:lastModifiedBy>AMATO</cp:lastModifiedBy>
  <cp:lastPrinted>2014-10-15T11:56:51Z</cp:lastPrinted>
  <dcterms:created xsi:type="dcterms:W3CDTF">2008-10-31T15:24:03Z</dcterms:created>
  <dcterms:modified xsi:type="dcterms:W3CDTF">2014-11-03T15:08:15Z</dcterms:modified>
</cp:coreProperties>
</file>